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m20288\AppData\Local\Microsoft\Windows\INetCache\Content.Outlook\OCNPL0NW\"/>
    </mc:Choice>
  </mc:AlternateContent>
  <xr:revisionPtr revIDLastSave="0" documentId="13_ncr:1_{3C9FA978-65C2-490C-9951-CBB413BAEA92}" xr6:coauthVersionLast="47" xr6:coauthVersionMax="47" xr10:uidLastSave="{00000000-0000-0000-0000-000000000000}"/>
  <bookViews>
    <workbookView xWindow="-110" yWindow="-110" windowWidth="19420" windowHeight="11500" activeTab="2" xr2:uid="{1ECA0892-A170-4440-8F7A-2711B26C007B}"/>
  </bookViews>
  <sheets>
    <sheet name="ROI JUNE 2026" sheetId="1" r:id="rId1"/>
    <sheet name="QUARTER JUNE 2026" sheetId="2" r:id="rId2"/>
    <sheet name="RFM JUNE 2026" sheetId="3" r:id="rId3"/>
    <sheet name="JUNE 2026 INVESTMENTS" sheetId="4" state="hidden" r:id="rId4"/>
  </sheets>
  <externalReferences>
    <externalReference r:id="rId5"/>
  </externalReferences>
  <definedNames>
    <definedName name="_xlnm.Print_Area" localSheetId="1">'QUARTER JUNE 2026'!$A$1:$J$38</definedName>
    <definedName name="_xlnm.Print_Area" localSheetId="2">'RFM JUNE 2026'!$A$1:$J$30</definedName>
    <definedName name="_xlnm.Print_Area" localSheetId="0">'ROI JUNE 2026'!$A$1:$G$40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" i="3" l="1"/>
  <c r="F378" i="4" l="1"/>
  <c r="C378" i="4"/>
  <c r="M376" i="4"/>
  <c r="M378" i="4" s="1"/>
  <c r="F370" i="4"/>
  <c r="C370" i="4"/>
  <c r="M368" i="4"/>
  <c r="M370" i="4" s="1"/>
  <c r="F363" i="4"/>
  <c r="C363" i="4"/>
  <c r="M361" i="4"/>
  <c r="M363" i="4" s="1"/>
  <c r="C356" i="4"/>
  <c r="E355" i="4"/>
  <c r="F354" i="4"/>
  <c r="F356" i="4" s="1"/>
  <c r="F348" i="4"/>
  <c r="C348" i="4"/>
  <c r="M346" i="4"/>
  <c r="M348" i="4" s="1"/>
  <c r="C340" i="4"/>
  <c r="F338" i="4"/>
  <c r="F340" i="4" s="1"/>
  <c r="F331" i="4"/>
  <c r="C331" i="4"/>
  <c r="F329" i="4"/>
  <c r="M329" i="4" s="1"/>
  <c r="M331" i="4" s="1"/>
  <c r="M322" i="4"/>
  <c r="F322" i="4"/>
  <c r="C322" i="4"/>
  <c r="M320" i="4"/>
  <c r="F314" i="4"/>
  <c r="C314" i="4"/>
  <c r="M312" i="4"/>
  <c r="M314" i="4" s="1"/>
  <c r="F306" i="4"/>
  <c r="C306" i="4"/>
  <c r="M304" i="4"/>
  <c r="M306" i="4" s="1"/>
  <c r="M299" i="4"/>
  <c r="F299" i="4"/>
  <c r="C299" i="4"/>
  <c r="M297" i="4"/>
  <c r="F292" i="4"/>
  <c r="C292" i="4"/>
  <c r="F290" i="4"/>
  <c r="C290" i="4"/>
  <c r="M288" i="4"/>
  <c r="M290" i="4" s="1"/>
  <c r="M292" i="4" s="1"/>
  <c r="M282" i="4"/>
  <c r="M284" i="4" s="1"/>
  <c r="F282" i="4"/>
  <c r="F284" i="4" s="1"/>
  <c r="C282" i="4"/>
  <c r="C284" i="4" s="1"/>
  <c r="M280" i="4"/>
  <c r="F274" i="4"/>
  <c r="C274" i="4"/>
  <c r="M272" i="4"/>
  <c r="M274" i="4" s="1"/>
  <c r="M268" i="4"/>
  <c r="F268" i="4"/>
  <c r="C268" i="4"/>
  <c r="M266" i="4"/>
  <c r="F260" i="4"/>
  <c r="C260" i="4"/>
  <c r="M258" i="4"/>
  <c r="M260" i="4" s="1"/>
  <c r="F254" i="4"/>
  <c r="C254" i="4"/>
  <c r="F252" i="4"/>
  <c r="C252" i="4"/>
  <c r="M250" i="4"/>
  <c r="M252" i="4" s="1"/>
  <c r="F246" i="4"/>
  <c r="C246" i="4"/>
  <c r="M244" i="4"/>
  <c r="M246" i="4" s="1"/>
  <c r="F240" i="4"/>
  <c r="C240" i="4"/>
  <c r="M238" i="4"/>
  <c r="L238" i="4"/>
  <c r="M237" i="4"/>
  <c r="M240" i="4" s="1"/>
  <c r="F233" i="4"/>
  <c r="C233" i="4"/>
  <c r="M231" i="4"/>
  <c r="M233" i="4" s="1"/>
  <c r="F224" i="4"/>
  <c r="C224" i="4"/>
  <c r="L222" i="4"/>
  <c r="M222" i="4" s="1"/>
  <c r="M221" i="4"/>
  <c r="M224" i="4" s="1"/>
  <c r="B221" i="4"/>
  <c r="M217" i="4"/>
  <c r="F217" i="4"/>
  <c r="C217" i="4"/>
  <c r="M215" i="4"/>
  <c r="F210" i="4"/>
  <c r="C210" i="4"/>
  <c r="M208" i="4"/>
  <c r="M210" i="4" s="1"/>
  <c r="B208" i="4"/>
  <c r="F200" i="4"/>
  <c r="F203" i="4" s="1"/>
  <c r="C200" i="4"/>
  <c r="C203" i="4" s="1"/>
  <c r="C382" i="4" s="1"/>
  <c r="M198" i="4"/>
  <c r="M197" i="4"/>
  <c r="M200" i="4" s="1"/>
  <c r="M203" i="4" s="1"/>
  <c r="M190" i="4"/>
  <c r="F190" i="4"/>
  <c r="C190" i="4"/>
  <c r="M188" i="4"/>
  <c r="F182" i="4"/>
  <c r="C182" i="4"/>
  <c r="M179" i="4"/>
  <c r="L179" i="4"/>
  <c r="L178" i="4"/>
  <c r="M178" i="4" s="1"/>
  <c r="L177" i="4"/>
  <c r="M177" i="4" s="1"/>
  <c r="L176" i="4"/>
  <c r="M176" i="4" s="1"/>
  <c r="L175" i="4"/>
  <c r="M175" i="4" s="1"/>
  <c r="L174" i="4"/>
  <c r="M174" i="4" s="1"/>
  <c r="M173" i="4"/>
  <c r="L173" i="4"/>
  <c r="M172" i="4"/>
  <c r="L172" i="4"/>
  <c r="L171" i="4"/>
  <c r="M171" i="4" s="1"/>
  <c r="L170" i="4"/>
  <c r="M170" i="4" s="1"/>
  <c r="M169" i="4"/>
  <c r="L169" i="4"/>
  <c r="M168" i="4"/>
  <c r="L168" i="4"/>
  <c r="L167" i="4"/>
  <c r="M167" i="4" s="1"/>
  <c r="L166" i="4"/>
  <c r="M166" i="4" s="1"/>
  <c r="M165" i="4"/>
  <c r="L165" i="4"/>
  <c r="M164" i="4"/>
  <c r="L164" i="4"/>
  <c r="L163" i="4"/>
  <c r="M163" i="4" s="1"/>
  <c r="L162" i="4"/>
  <c r="M162" i="4" s="1"/>
  <c r="M161" i="4"/>
  <c r="L161" i="4"/>
  <c r="M160" i="4"/>
  <c r="L160" i="4"/>
  <c r="L159" i="4"/>
  <c r="M159" i="4" s="1"/>
  <c r="L158" i="4"/>
  <c r="M158" i="4" s="1"/>
  <c r="M157" i="4"/>
  <c r="L157" i="4"/>
  <c r="M156" i="4"/>
  <c r="L156" i="4"/>
  <c r="L155" i="4"/>
  <c r="M155" i="4" s="1"/>
  <c r="L154" i="4"/>
  <c r="M154" i="4" s="1"/>
  <c r="M153" i="4"/>
  <c r="L153" i="4"/>
  <c r="M152" i="4"/>
  <c r="L152" i="4"/>
  <c r="L151" i="4"/>
  <c r="M151" i="4" s="1"/>
  <c r="L150" i="4"/>
  <c r="M150" i="4" s="1"/>
  <c r="M149" i="4"/>
  <c r="L149" i="4"/>
  <c r="M148" i="4"/>
  <c r="L148" i="4"/>
  <c r="L147" i="4"/>
  <c r="M147" i="4" s="1"/>
  <c r="L146" i="4"/>
  <c r="M146" i="4" s="1"/>
  <c r="M145" i="4"/>
  <c r="L145" i="4"/>
  <c r="M144" i="4"/>
  <c r="L144" i="4"/>
  <c r="L143" i="4"/>
  <c r="M143" i="4" s="1"/>
  <c r="L142" i="4"/>
  <c r="M142" i="4" s="1"/>
  <c r="M141" i="4"/>
  <c r="L141" i="4"/>
  <c r="M140" i="4"/>
  <c r="L140" i="4"/>
  <c r="L139" i="4"/>
  <c r="M139" i="4" s="1"/>
  <c r="L138" i="4"/>
  <c r="M138" i="4" s="1"/>
  <c r="M137" i="4"/>
  <c r="L137" i="4"/>
  <c r="M136" i="4"/>
  <c r="L136" i="4"/>
  <c r="L135" i="4"/>
  <c r="M135" i="4" s="1"/>
  <c r="L134" i="4"/>
  <c r="M134" i="4" s="1"/>
  <c r="M133" i="4"/>
  <c r="L133" i="4"/>
  <c r="M132" i="4"/>
  <c r="L132" i="4"/>
  <c r="L131" i="4"/>
  <c r="M131" i="4" s="1"/>
  <c r="L130" i="4"/>
  <c r="M130" i="4" s="1"/>
  <c r="L129" i="4"/>
  <c r="M129" i="4" s="1"/>
  <c r="M128" i="4"/>
  <c r="C122" i="4"/>
  <c r="M119" i="4"/>
  <c r="L119" i="4"/>
  <c r="L118" i="4"/>
  <c r="M118" i="4" s="1"/>
  <c r="L117" i="4"/>
  <c r="M117" i="4" s="1"/>
  <c r="L116" i="4"/>
  <c r="M116" i="4" s="1"/>
  <c r="L115" i="4"/>
  <c r="M115" i="4" s="1"/>
  <c r="M114" i="4"/>
  <c r="L114" i="4"/>
  <c r="L113" i="4"/>
  <c r="M113" i="4" s="1"/>
  <c r="M112" i="4"/>
  <c r="L112" i="4"/>
  <c r="L111" i="4"/>
  <c r="M111" i="4" s="1"/>
  <c r="M110" i="4"/>
  <c r="L110" i="4"/>
  <c r="L109" i="4"/>
  <c r="M109" i="4" s="1"/>
  <c r="L108" i="4"/>
  <c r="M108" i="4" s="1"/>
  <c r="L107" i="4"/>
  <c r="M107" i="4" s="1"/>
  <c r="M106" i="4"/>
  <c r="L106" i="4"/>
  <c r="M105" i="4"/>
  <c r="L105" i="4"/>
  <c r="M104" i="4"/>
  <c r="L104" i="4"/>
  <c r="L103" i="4"/>
  <c r="M103" i="4" s="1"/>
  <c r="M102" i="4"/>
  <c r="L102" i="4"/>
  <c r="L101" i="4"/>
  <c r="M101" i="4" s="1"/>
  <c r="L100" i="4"/>
  <c r="M100" i="4" s="1"/>
  <c r="L99" i="4"/>
  <c r="M99" i="4" s="1"/>
  <c r="M98" i="4"/>
  <c r="L98" i="4"/>
  <c r="M97" i="4"/>
  <c r="L97" i="4"/>
  <c r="M96" i="4"/>
  <c r="L96" i="4"/>
  <c r="L95" i="4"/>
  <c r="M95" i="4" s="1"/>
  <c r="M94" i="4"/>
  <c r="L94" i="4"/>
  <c r="L93" i="4"/>
  <c r="M93" i="4" s="1"/>
  <c r="L92" i="4"/>
  <c r="M92" i="4" s="1"/>
  <c r="L91" i="4"/>
  <c r="M91" i="4" s="1"/>
  <c r="L90" i="4"/>
  <c r="M90" i="4" s="1"/>
  <c r="M89" i="4"/>
  <c r="L89" i="4"/>
  <c r="L88" i="4"/>
  <c r="M88" i="4" s="1"/>
  <c r="L87" i="4"/>
  <c r="M87" i="4" s="1"/>
  <c r="L86" i="4"/>
  <c r="M86" i="4" s="1"/>
  <c r="M85" i="4"/>
  <c r="L85" i="4"/>
  <c r="M84" i="4"/>
  <c r="L84" i="4"/>
  <c r="L83" i="4"/>
  <c r="M83" i="4" s="1"/>
  <c r="L82" i="4"/>
  <c r="M82" i="4" s="1"/>
  <c r="M81" i="4"/>
  <c r="L81" i="4"/>
  <c r="M80" i="4"/>
  <c r="L80" i="4"/>
  <c r="L79" i="4"/>
  <c r="M79" i="4" s="1"/>
  <c r="L78" i="4"/>
  <c r="M78" i="4" s="1"/>
  <c r="M77" i="4"/>
  <c r="L77" i="4"/>
  <c r="M76" i="4"/>
  <c r="L76" i="4"/>
  <c r="L75" i="4"/>
  <c r="M75" i="4" s="1"/>
  <c r="L74" i="4"/>
  <c r="M74" i="4" s="1"/>
  <c r="M73" i="4"/>
  <c r="L73" i="4"/>
  <c r="M72" i="4"/>
  <c r="L72" i="4"/>
  <c r="L71" i="4"/>
  <c r="M71" i="4" s="1"/>
  <c r="L70" i="4"/>
  <c r="M70" i="4" s="1"/>
  <c r="M69" i="4"/>
  <c r="L69" i="4"/>
  <c r="M68" i="4"/>
  <c r="L68" i="4"/>
  <c r="L67" i="4"/>
  <c r="M67" i="4" s="1"/>
  <c r="L66" i="4"/>
  <c r="M66" i="4" s="1"/>
  <c r="M65" i="4"/>
  <c r="L65" i="4"/>
  <c r="M64" i="4"/>
  <c r="L64" i="4"/>
  <c r="L63" i="4"/>
  <c r="M63" i="4" s="1"/>
  <c r="F63" i="4"/>
  <c r="F122" i="4" s="1"/>
  <c r="M62" i="4"/>
  <c r="E62" i="4"/>
  <c r="E128" i="4" s="1"/>
  <c r="M57" i="4"/>
  <c r="M55" i="4"/>
  <c r="F55" i="4"/>
  <c r="F57" i="4" s="1"/>
  <c r="C55" i="4"/>
  <c r="C57" i="4" s="1"/>
  <c r="M53" i="4"/>
  <c r="M52" i="4"/>
  <c r="M51" i="4"/>
  <c r="M50" i="4"/>
  <c r="E50" i="4"/>
  <c r="C45" i="4"/>
  <c r="L43" i="4"/>
  <c r="M43" i="4" s="1"/>
  <c r="F43" i="4"/>
  <c r="L42" i="4"/>
  <c r="M42" i="4" s="1"/>
  <c r="M41" i="4"/>
  <c r="L41" i="4"/>
  <c r="L40" i="4"/>
  <c r="M40" i="4" s="1"/>
  <c r="L39" i="4"/>
  <c r="M39" i="4" s="1"/>
  <c r="F39" i="4"/>
  <c r="L38" i="4"/>
  <c r="M38" i="4" s="1"/>
  <c r="L37" i="4"/>
  <c r="M37" i="4" s="1"/>
  <c r="L36" i="4"/>
  <c r="M36" i="4" s="1"/>
  <c r="M35" i="4"/>
  <c r="L35" i="4"/>
  <c r="F35" i="4"/>
  <c r="M34" i="4"/>
  <c r="L34" i="4"/>
  <c r="L33" i="4"/>
  <c r="M33" i="4" s="1"/>
  <c r="L32" i="4"/>
  <c r="M32" i="4" s="1"/>
  <c r="L31" i="4"/>
  <c r="M31" i="4" s="1"/>
  <c r="M30" i="4"/>
  <c r="L30" i="4"/>
  <c r="M29" i="4"/>
  <c r="L29" i="4"/>
  <c r="L28" i="4"/>
  <c r="M28" i="4" s="1"/>
  <c r="L27" i="4"/>
  <c r="M27" i="4" s="1"/>
  <c r="M26" i="4"/>
  <c r="L26" i="4"/>
  <c r="F26" i="4"/>
  <c r="L25" i="4"/>
  <c r="M25" i="4" s="1"/>
  <c r="L24" i="4"/>
  <c r="M24" i="4" s="1"/>
  <c r="L23" i="4"/>
  <c r="M23" i="4" s="1"/>
  <c r="L22" i="4"/>
  <c r="M22" i="4" s="1"/>
  <c r="F22" i="4"/>
  <c r="F45" i="4" s="1"/>
  <c r="L21" i="4"/>
  <c r="M21" i="4" s="1"/>
  <c r="M20" i="4"/>
  <c r="L20" i="4"/>
  <c r="L19" i="4"/>
  <c r="M19" i="4" s="1"/>
  <c r="M18" i="4"/>
  <c r="M17" i="4"/>
  <c r="M16" i="4"/>
  <c r="M15" i="4"/>
  <c r="M45" i="4" s="1"/>
  <c r="M14" i="4"/>
  <c r="M122" i="4" l="1"/>
  <c r="M182" i="4"/>
  <c r="M254" i="4"/>
  <c r="F382" i="4"/>
  <c r="M338" i="4"/>
  <c r="M340" i="4" s="1"/>
  <c r="M382" i="4" s="1"/>
  <c r="M354" i="4"/>
  <c r="M356" i="4" s="1"/>
  <c r="G28" i="3" l="1"/>
  <c r="C28" i="3"/>
  <c r="H22" i="3"/>
  <c r="I22" i="3" s="1"/>
  <c r="E20" i="3"/>
  <c r="E28" i="3" s="1"/>
  <c r="H28" i="3" l="1"/>
  <c r="I28" i="3" s="1"/>
  <c r="I20" i="3"/>
  <c r="I22" i="2" l="1"/>
  <c r="D19" i="2"/>
  <c r="D22" i="2" s="1"/>
  <c r="B19" i="2"/>
  <c r="B22" i="2" s="1"/>
  <c r="B16" i="2"/>
  <c r="G16" i="2" s="1"/>
  <c r="B31" i="2" s="1"/>
  <c r="F34" i="1"/>
  <c r="F36" i="1" s="1"/>
  <c r="F32" i="1"/>
  <c r="D32" i="1"/>
  <c r="D34" i="1" s="1"/>
  <c r="D36" i="1" s="1"/>
  <c r="F30" i="1"/>
  <c r="D30" i="1"/>
  <c r="J22" i="2" l="1"/>
  <c r="B34" i="2" s="1"/>
  <c r="G22" i="2"/>
  <c r="G19" i="2"/>
  <c r="J19" i="2"/>
</calcChain>
</file>

<file path=xl/sharedStrings.xml><?xml version="1.0" encoding="utf-8"?>
<sst xmlns="http://schemas.openxmlformats.org/spreadsheetml/2006/main" count="700" uniqueCount="212">
  <si>
    <t>REGIONAL TRANSPORTATION DISTRICT</t>
  </si>
  <si>
    <t>PAGE 1</t>
  </si>
  <si>
    <t>2025 RETURN ON INVESTMENT REPORT</t>
  </si>
  <si>
    <t>UNRESTRICTED ONLY (BASE &amp; FASTRACKS)</t>
  </si>
  <si>
    <t xml:space="preserve"> AS OF JUNE 30, 2026</t>
  </si>
  <si>
    <t xml:space="preserve">                           TOTAL</t>
  </si>
  <si>
    <t xml:space="preserve"> UNRESTRICTED INVESTMENTS</t>
  </si>
  <si>
    <t xml:space="preserve">   WEIGHTED AVG BOOK VALUE AND/OR FAIR VALUE:</t>
  </si>
  <si>
    <t xml:space="preserve">    JANUARY</t>
  </si>
  <si>
    <t xml:space="preserve">    FEBRUARY</t>
  </si>
  <si>
    <t xml:space="preserve">    MARCH</t>
  </si>
  <si>
    <t xml:space="preserve">    APRIL</t>
  </si>
  <si>
    <t xml:space="preserve">    MAY</t>
  </si>
  <si>
    <t xml:space="preserve">    JUNE</t>
  </si>
  <si>
    <t xml:space="preserve">    JULY</t>
  </si>
  <si>
    <t xml:space="preserve">    AUGUST</t>
  </si>
  <si>
    <t xml:space="preserve">    SEPTEMBER</t>
  </si>
  <si>
    <t xml:space="preserve">    OCTOBER</t>
  </si>
  <si>
    <t xml:space="preserve">    NOVEMBER</t>
  </si>
  <si>
    <t xml:space="preserve">    DECEMBER</t>
  </si>
  <si>
    <t xml:space="preserve">    ANNUALIZED WABV AND/OR WAFV</t>
  </si>
  <si>
    <t xml:space="preserve"> </t>
  </si>
  <si>
    <t xml:space="preserve">    YTD INVESTMENT EARNINGS BASE &amp; FT</t>
  </si>
  <si>
    <t xml:space="preserve">    ANNUAL INVESTMENT EARNINGS</t>
  </si>
  <si>
    <t xml:space="preserve">   2025 YTD YIELD, 2026 YTD YIELD</t>
  </si>
  <si>
    <t>PAGE 2</t>
  </si>
  <si>
    <t>QUARTERLY INVESTMENT REPORT</t>
  </si>
  <si>
    <t>FOR THE QUARTER ENDING JUNE 30, 2026</t>
  </si>
  <si>
    <t>QUARTERLY</t>
  </si>
  <si>
    <t>JUNE 30, 2026</t>
  </si>
  <si>
    <t>WEIGHTED AVERAGE</t>
  </si>
  <si>
    <t>UNREALIZED TOTAL</t>
  </si>
  <si>
    <t>FAIR VALUE</t>
  </si>
  <si>
    <t>EARNINGS</t>
  </si>
  <si>
    <t>QUARTER YIELD ON</t>
  </si>
  <si>
    <t>ADJUSTMENT TO</t>
  </si>
  <si>
    <t xml:space="preserve"> RETURN ON</t>
  </si>
  <si>
    <t>BOOK VALUE</t>
  </si>
  <si>
    <t>PER G/L</t>
  </si>
  <si>
    <t>RTD Unrestricted Portfolio:</t>
  </si>
  <si>
    <t xml:space="preserve">  Cash Base/Fastracks Equivalents</t>
  </si>
  <si>
    <t xml:space="preserve">  Enhanced  Cash  RTD BASE</t>
  </si>
  <si>
    <t xml:space="preserve">  Enhanced  Cash  FASTRACKS</t>
  </si>
  <si>
    <t>Total Enhanced Cash</t>
  </si>
  <si>
    <t>Total Return</t>
  </si>
  <si>
    <t>June 30, 2026</t>
  </si>
  <si>
    <t>March 31, 2026</t>
  </si>
  <si>
    <t>December 31, 2025</t>
  </si>
  <si>
    <t>September  30, 2025</t>
  </si>
  <si>
    <t>Cash Equivalents (Base &amp; FasTracks)</t>
  </si>
  <si>
    <t>ML 3-Month U.S. Treasury Bill index</t>
  </si>
  <si>
    <t>Enhanced Cash (Base &amp; FasTracks)</t>
  </si>
  <si>
    <t>ML 1-YEAR U.S. Treasury Note Index</t>
  </si>
  <si>
    <t xml:space="preserve">  </t>
  </si>
  <si>
    <t>UNRESTRICTED</t>
  </si>
  <si>
    <t>PAGE 3</t>
  </si>
  <si>
    <t>UNRESTRICTED INVESTMENT YIELD FOR THE MONTH: JUNE 30, 2026</t>
  </si>
  <si>
    <t>JUNE</t>
  </si>
  <si>
    <t>G/L ON SALES</t>
  </si>
  <si>
    <t>ANNUALIZED</t>
  </si>
  <si>
    <t>FOR JUNE 30, 2026</t>
  </si>
  <si>
    <t>G/L ON CALLS</t>
  </si>
  <si>
    <t>YIELD</t>
  </si>
  <si>
    <t>RTD INTERNAL PORTFOLIO</t>
  </si>
  <si>
    <t>CASH BASE/FT EQUIVALENTS</t>
  </si>
  <si>
    <t>%</t>
  </si>
  <si>
    <t>RTD BASE - Enhanced Cash</t>
  </si>
  <si>
    <t>FASTRACKS - Enhanced Cash</t>
  </si>
  <si>
    <t>TOTAL UNRESTRICTED</t>
  </si>
  <si>
    <t>BOOK VALUE AS OF JUNE 30, 2026 MARKET VALUE AS OF JUNE 30, 2026</t>
  </si>
  <si>
    <t>MATURITY DATE</t>
  </si>
  <si>
    <t>COUPON/</t>
  </si>
  <si>
    <t>PURCHASE</t>
  </si>
  <si>
    <t>PURCHASED</t>
  </si>
  <si>
    <t>MARKET QUOTE</t>
  </si>
  <si>
    <t>MARKET VALUE</t>
  </si>
  <si>
    <t>(CALL DATE)</t>
  </si>
  <si>
    <t>DESCRIPTION</t>
  </si>
  <si>
    <t>FACE VALUE</t>
  </si>
  <si>
    <t>DISCOUNT%</t>
  </si>
  <si>
    <t>PRICE</t>
  </si>
  <si>
    <t>DATE</t>
  </si>
  <si>
    <t>FROM</t>
  </si>
  <si>
    <t>CSAFE FIMD SF8888734</t>
  </si>
  <si>
    <t>UMB TRUST</t>
  </si>
  <si>
    <t>CSLIP 1-833-31 (27547)</t>
  </si>
  <si>
    <t>CSLIP</t>
  </si>
  <si>
    <t>CSAFE LGIP ACCT 92-01</t>
  </si>
  <si>
    <t>CSAFE</t>
  </si>
  <si>
    <t>CSAFE LGIP ACCT 92-05</t>
  </si>
  <si>
    <t>COLOTURST PLUS+</t>
  </si>
  <si>
    <t>COLOTRUST</t>
  </si>
  <si>
    <t>TN</t>
  </si>
  <si>
    <t>JPMORGAN</t>
  </si>
  <si>
    <t>BMO</t>
  </si>
  <si>
    <t>MORGAN STANLEY</t>
  </si>
  <si>
    <t>HAWAII MUNI</t>
  </si>
  <si>
    <t>HAWAII MUNI FROM FT</t>
  </si>
  <si>
    <t>GOLDMAN</t>
  </si>
  <si>
    <t>FHLB</t>
  </si>
  <si>
    <t>WELLS FARGO</t>
  </si>
  <si>
    <t>FHLB FROM FT</t>
  </si>
  <si>
    <t>ROYAL BANK</t>
  </si>
  <si>
    <t>BARCLAYS</t>
  </si>
  <si>
    <t>CHEVRON CORP</t>
  </si>
  <si>
    <t>CITIGROUP</t>
  </si>
  <si>
    <t>AMAZON.COM CORP</t>
  </si>
  <si>
    <t>ALPHBET CORP.</t>
  </si>
  <si>
    <t>MARKETAXES</t>
  </si>
  <si>
    <t>TOTAL UNRESTRICTED BASE</t>
  </si>
  <si>
    <t>FASTRACKS PORTFOLIO</t>
  </si>
  <si>
    <t>CSIP #3001 MMF</t>
  </si>
  <si>
    <t>PFM TRUST</t>
  </si>
  <si>
    <t>CSLIP # 910</t>
  </si>
  <si>
    <t>CSLIP TRUST</t>
  </si>
  <si>
    <t>CSAFE CORE 392-07</t>
  </si>
  <si>
    <t>CSAFE TRUST</t>
  </si>
  <si>
    <t>TOTAL FASTRACKS</t>
  </si>
  <si>
    <t>RESTRICTED INVESTMENTS - TABOR RESERVE FASTRACKS</t>
  </si>
  <si>
    <t>MM</t>
  </si>
  <si>
    <t>UMB</t>
  </si>
  <si>
    <t>JP MORG CHASE BNA CORP</t>
  </si>
  <si>
    <t>DALLAS TX INDPT SCH DIST</t>
  </si>
  <si>
    <t>CALIFORNIA ST MUNI</t>
  </si>
  <si>
    <t xml:space="preserve">ROYAL BANK </t>
  </si>
  <si>
    <t>CONN ST MUNI</t>
  </si>
  <si>
    <t>JP MORGAN</t>
  </si>
  <si>
    <t>GEORGIA STATE MUNI</t>
  </si>
  <si>
    <t>MERRILL LYNCH</t>
  </si>
  <si>
    <t>CITI BANK</t>
  </si>
  <si>
    <t xml:space="preserve">RBC </t>
  </si>
  <si>
    <t>MSSB</t>
  </si>
  <si>
    <t>BMOHARRIS</t>
  </si>
  <si>
    <t>TOTAL TABOR FT RESERVE</t>
  </si>
  <si>
    <t>RESTRICTED INVESTMENTS - TABOR RESERVE BASE</t>
  </si>
  <si>
    <t>WELLS FARGO ADV/UMB</t>
  </si>
  <si>
    <t>WELLS  FARGO</t>
  </si>
  <si>
    <t>RBC</t>
  </si>
  <si>
    <t>ROYAL CANADA</t>
  </si>
  <si>
    <t>BHOHARRIS</t>
  </si>
  <si>
    <t>TOTAL TABOR RESERVE</t>
  </si>
  <si>
    <t>RESTRICTED INVESTMENTS - KASSLER CHEESMAN ESCROW ACCOUNT</t>
  </si>
  <si>
    <t>VARIOUS</t>
  </si>
  <si>
    <t>WELLS FARGO "TRUST"</t>
  </si>
  <si>
    <t>KASSLER CHEESMAN</t>
  </si>
  <si>
    <t>RESTRICTED INVESTMENTS - SALES TAX REVENUE BONDS</t>
  </si>
  <si>
    <t>SALES TAX BOND SERVICE &amp; CLEARING ACCOUNT</t>
  </si>
  <si>
    <t>BNY MMF 411315</t>
  </si>
  <si>
    <t>BNY "TRUST"</t>
  </si>
  <si>
    <t>BNY MMF 411486&amp;411487</t>
  </si>
  <si>
    <t xml:space="preserve">       TOTAL</t>
  </si>
  <si>
    <t>SALES TAX BOND TOTAL</t>
  </si>
  <si>
    <t>RESTRICTED INVESTMENTS - SALES TAX 2007A FT SALE TAX SERVICE FUND</t>
  </si>
  <si>
    <t>BNY MMF</t>
  </si>
  <si>
    <t>TOTAL 2007A SERVICE</t>
  </si>
  <si>
    <t>RESTRICTED INVESTMENTS - 2010A\B ST FT SERVICE</t>
  </si>
  <si>
    <t>BNY MM</t>
  </si>
  <si>
    <t>TOTAL 2010 A\B ST FT SERVICE</t>
  </si>
  <si>
    <t>2010A\B ST FT RESERVE FUND</t>
  </si>
  <si>
    <t>TOTAL 2010 A\B RESERVE</t>
  </si>
  <si>
    <t>RESTRICTED INVESTMENTS - 2010A/B CERTIFICATES OF PARTICIPATION</t>
  </si>
  <si>
    <t>2010 COP CERTICATES AND COI</t>
  </si>
  <si>
    <t>COLOTRUST PLUS-FUND</t>
  </si>
  <si>
    <t>UMB "TRUST"</t>
  </si>
  <si>
    <t>2010/2020 COP RESERVE</t>
  </si>
  <si>
    <t>TOTAL</t>
  </si>
  <si>
    <t>2010A COP PROJECT</t>
  </si>
  <si>
    <t>2020 COP REBATE</t>
  </si>
  <si>
    <t>CSAFE FUND</t>
  </si>
  <si>
    <t>TOTAL 2010 COP REBATE</t>
  </si>
  <si>
    <t>2010 COP TITLE EXTENSION ACCOUNT</t>
  </si>
  <si>
    <t>RESTRICTED INVESTMENTS - 2020A CERTIFICATES OF PARTICIPATION</t>
  </si>
  <si>
    <t>2020A COP CERTICATES AND COI</t>
  </si>
  <si>
    <t>2013A ST FT SERVICE COI ACCOUNT</t>
  </si>
  <si>
    <t>RESTRICTED INVESTMENTS - 2016A SALE TAX FASTRACKS</t>
  </si>
  <si>
    <t>2016A ST FT CAPTIAL ACCOUNT</t>
  </si>
  <si>
    <t>TOTAL 2016A ST FT</t>
  </si>
  <si>
    <t>2016A ST FT REBATE ACCOUNT</t>
  </si>
  <si>
    <t>TOTAL 2016A ST FT REBATE</t>
  </si>
  <si>
    <t xml:space="preserve">RESTRICTED INVESTMENTS - ST FT EAGLE P3 </t>
  </si>
  <si>
    <t>ST FT EAGLE P3 TABOR SERVICE</t>
  </si>
  <si>
    <t>TOTAL ST FT EAGLE P3 SERVICE</t>
  </si>
  <si>
    <t>RESTRICTED INVESTMENTS - 2017A ST FT COI/SERVICE</t>
  </si>
  <si>
    <t>2017A ST FT COI/SERVICE</t>
  </si>
  <si>
    <t>TOTAL 2017A ST FT TOTAL</t>
  </si>
  <si>
    <t>RESTRICTED INVESTMENTS - 2017B ST FT COI/SERVICE</t>
  </si>
  <si>
    <t>2017B ST FT COI/SERVICE</t>
  </si>
  <si>
    <t>.</t>
  </si>
  <si>
    <t>TOTAL 2017B ST FT TOTAL</t>
  </si>
  <si>
    <t>RESTRICTED INVESTMENTS - 2019A ST FT COI/SERVICE</t>
  </si>
  <si>
    <t>2019A ST FT COI/SERVICE</t>
  </si>
  <si>
    <t>TOTAL 2019A ST FT TOTAL</t>
  </si>
  <si>
    <t>RESTRICTED INVESTMENTS - 2021AB SERVICE</t>
  </si>
  <si>
    <t>2021AB SERVICE FUND</t>
  </si>
  <si>
    <t>TOTAL 2021AB SERVICE FUND</t>
  </si>
  <si>
    <t>RESTRICTED INVESTMENTS - 2022AB SERVICE</t>
  </si>
  <si>
    <t>2022AB SERVICE FUND</t>
  </si>
  <si>
    <t>TOTAL 2022AB SERVICE FUND</t>
  </si>
  <si>
    <t>RESTRICTED INVESTMENTS - 2023A SERVICE</t>
  </si>
  <si>
    <t>2023A SERVICE FUND</t>
  </si>
  <si>
    <t>TOTAL 2023A SERVICE FUND</t>
  </si>
  <si>
    <t>RESTRICTED INVESTMENTS - 2023A COP</t>
  </si>
  <si>
    <t>2023A COP SERVICE FUND</t>
  </si>
  <si>
    <t xml:space="preserve">TOTAL 2023A COP SERVICE </t>
  </si>
  <si>
    <t>RESTRICTED INVESTMENTS - 2024A COP</t>
  </si>
  <si>
    <t>2024A COP SERVICE FUND</t>
  </si>
  <si>
    <t xml:space="preserve">TOTAL 2024A COP SERVICE </t>
  </si>
  <si>
    <t>2024A COP REBATE FUND</t>
  </si>
  <si>
    <t>TOTAL 2024A COP REBATE</t>
  </si>
  <si>
    <t>RESTRICTED INVESTMENTS - 2025A CERTIFICATES OF PARTICIPATION</t>
  </si>
  <si>
    <t>2025A COP FT SERVICE COI</t>
  </si>
  <si>
    <t>TOTAL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</si>
</sst>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164" formatCode="0_)"/>
    <numFmt numFmtId="165" formatCode="0.0_)"/>
    <numFmt numFmtId="166" formatCode="0.000%"/>
    <numFmt numFmtId="167" formatCode="#,##0.000"/>
    <numFmt numFmtId="168" formatCode="0.0000%"/>
    <numFmt numFmtId="169" formatCode="0.000_);[Red]\(0.000\)"/>
    <numFmt numFmtId="170" formatCode="0.00_);\(0.00\)"/>
    <numFmt numFmtId="171" formatCode="#,##0.0000000_);\(#,##0.0000000\)"/>
    <numFmt numFmtId="172" formatCode="0.00000_)"/>
    <numFmt numFmtId="173" formatCode="0.0000000_)"/>
    <numFmt numFmtId="174" formatCode="mm/dd/yy_)"/>
    <numFmt numFmtId="175" formatCode="[$-409]d\-mmm\-yy;@"/>
    <numFmt numFmtId="176" formatCode="dd\-mmm\-yy_)"/>
    <numFmt numFmtId="177" formatCode="0.000000"/>
    <numFmt numFmtId="178" formatCode="0.0000000"/>
    <numFmt numFmtId="179" formatCode="0.00000_);\(0.00000\)"/>
  </numFmts>
  <fonts count="17" x14ac:knownFonts="1">
    <font>
      <sz val="11"/>
      <color theme="1"/>
      <name val="Aptos Narrow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 Narrow"/>
      <family val="2"/>
    </font>
    <font>
      <b/>
      <sz val="10"/>
      <name val="Courier"/>
      <family val="3"/>
    </font>
    <font>
      <b/>
      <u/>
      <sz val="12"/>
      <name val="Arial Narrow"/>
      <family val="2"/>
    </font>
    <font>
      <sz val="10"/>
      <color indexed="12"/>
      <name val="Courier"/>
      <family val="3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quotePrefix="1" applyFont="1"/>
    <xf numFmtId="0" fontId="1" fillId="0" borderId="5" xfId="0" applyFont="1" applyBorder="1"/>
    <xf numFmtId="0" fontId="5" fillId="0" borderId="0" xfId="0" applyFont="1" applyProtection="1">
      <protection locked="0"/>
    </xf>
    <xf numFmtId="0" fontId="1" fillId="0" borderId="5" xfId="0" applyFont="1" applyBorder="1" applyProtection="1">
      <protection locked="0"/>
    </xf>
    <xf numFmtId="0" fontId="5" fillId="0" borderId="4" xfId="0" applyFont="1" applyBorder="1" applyProtection="1">
      <protection locked="0"/>
    </xf>
    <xf numFmtId="164" fontId="4" fillId="0" borderId="0" xfId="0" applyNumberFormat="1" applyFont="1" applyAlignment="1">
      <alignment horizontal="center"/>
    </xf>
    <xf numFmtId="0" fontId="1" fillId="0" borderId="4" xfId="0" applyFont="1" applyBorder="1" applyProtection="1">
      <protection locked="0"/>
    </xf>
    <xf numFmtId="0" fontId="1" fillId="0" borderId="0" xfId="0" applyFont="1" applyProtection="1">
      <protection locked="0"/>
    </xf>
    <xf numFmtId="37" fontId="1" fillId="0" borderId="0" xfId="0" applyNumberFormat="1" applyFont="1"/>
    <xf numFmtId="38" fontId="1" fillId="0" borderId="0" xfId="0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/>
    <xf numFmtId="2" fontId="2" fillId="0" borderId="0" xfId="0" applyNumberFormat="1" applyFont="1"/>
    <xf numFmtId="39" fontId="2" fillId="0" borderId="0" xfId="0" applyNumberFormat="1" applyFont="1"/>
    <xf numFmtId="37" fontId="1" fillId="0" borderId="0" xfId="0" applyNumberFormat="1" applyFont="1" applyAlignment="1">
      <alignment horizontal="center"/>
    </xf>
    <xf numFmtId="165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0" xfId="0" applyFont="1"/>
    <xf numFmtId="37" fontId="3" fillId="0" borderId="0" xfId="0" applyNumberFormat="1" applyFont="1" applyAlignment="1" applyProtection="1">
      <alignment horizontal="center"/>
      <protection locked="0"/>
    </xf>
    <xf numFmtId="37" fontId="4" fillId="0" borderId="0" xfId="0" applyNumberFormat="1" applyFont="1" applyAlignment="1" applyProtection="1">
      <alignment horizontal="center"/>
      <protection locked="0"/>
    </xf>
    <xf numFmtId="0" fontId="3" fillId="0" borderId="0" xfId="0" applyFont="1"/>
    <xf numFmtId="15" fontId="3" fillId="0" borderId="0" xfId="0" quotePrefix="1" applyNumberFormat="1" applyFont="1" applyAlignment="1">
      <alignment horizontal="center"/>
    </xf>
    <xf numFmtId="39" fontId="3" fillId="0" borderId="0" xfId="0" applyNumberFormat="1" applyFont="1" applyAlignment="1" applyProtection="1">
      <alignment horizontal="center"/>
      <protection locked="0"/>
    </xf>
    <xf numFmtId="37" fontId="4" fillId="0" borderId="9" xfId="0" applyNumberFormat="1" applyFont="1" applyBorder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39" fontId="4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37" fontId="3" fillId="0" borderId="10" xfId="0" applyNumberFormat="1" applyFont="1" applyBorder="1"/>
    <xf numFmtId="37" fontId="3" fillId="0" borderId="10" xfId="0" applyNumberFormat="1" applyFont="1" applyBorder="1" applyProtection="1">
      <protection locked="0"/>
    </xf>
    <xf numFmtId="166" fontId="1" fillId="0" borderId="0" xfId="0" applyNumberFormat="1" applyFont="1" applyProtection="1">
      <protection locked="0"/>
    </xf>
    <xf numFmtId="10" fontId="1" fillId="0" borderId="0" xfId="0" applyNumberFormat="1" applyFont="1"/>
    <xf numFmtId="166" fontId="1" fillId="0" borderId="0" xfId="0" applyNumberFormat="1" applyFont="1"/>
    <xf numFmtId="0" fontId="3" fillId="0" borderId="0" xfId="0" applyFont="1" applyAlignment="1" applyProtection="1">
      <alignment horizontal="left"/>
      <protection locked="0"/>
    </xf>
    <xf numFmtId="37" fontId="1" fillId="0" borderId="0" xfId="0" applyNumberFormat="1" applyFont="1" applyAlignment="1">
      <alignment horizontal="right"/>
    </xf>
    <xf numFmtId="37" fontId="1" fillId="0" borderId="9" xfId="0" applyNumberFormat="1" applyFont="1" applyBorder="1"/>
    <xf numFmtId="37" fontId="1" fillId="0" borderId="9" xfId="0" applyNumberFormat="1" applyFont="1" applyBorder="1" applyAlignment="1">
      <alignment horizontal="right"/>
    </xf>
    <xf numFmtId="39" fontId="1" fillId="0" borderId="0" xfId="0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37" fontId="6" fillId="0" borderId="0" xfId="0" applyNumberFormat="1" applyFont="1"/>
    <xf numFmtId="0" fontId="3" fillId="0" borderId="0" xfId="0" quotePrefix="1" applyFont="1" applyAlignment="1">
      <alignment horizontal="center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3" fillId="0" borderId="14" xfId="0" applyFont="1" applyBorder="1"/>
    <xf numFmtId="166" fontId="6" fillId="0" borderId="0" xfId="0" applyNumberFormat="1" applyFont="1"/>
    <xf numFmtId="166" fontId="1" fillId="0" borderId="15" xfId="0" applyNumberFormat="1" applyFont="1" applyBorder="1"/>
    <xf numFmtId="0" fontId="7" fillId="0" borderId="14" xfId="0" applyFont="1" applyBorder="1" applyProtection="1">
      <protection locked="0"/>
    </xf>
    <xf numFmtId="166" fontId="1" fillId="0" borderId="9" xfId="0" applyNumberFormat="1" applyFont="1" applyBorder="1"/>
    <xf numFmtId="166" fontId="1" fillId="0" borderId="16" xfId="0" applyNumberFormat="1" applyFont="1" applyBorder="1"/>
    <xf numFmtId="0" fontId="8" fillId="0" borderId="17" xfId="0" applyFont="1" applyBorder="1"/>
    <xf numFmtId="2" fontId="1" fillId="0" borderId="18" xfId="0" applyNumberFormat="1" applyFont="1" applyBorder="1"/>
    <xf numFmtId="0" fontId="1" fillId="0" borderId="18" xfId="0" applyFont="1" applyBorder="1"/>
    <xf numFmtId="0" fontId="6" fillId="0" borderId="18" xfId="0" applyFont="1" applyBorder="1"/>
    <xf numFmtId="168" fontId="1" fillId="0" borderId="19" xfId="0" applyNumberFormat="1" applyFont="1" applyBorder="1"/>
    <xf numFmtId="166" fontId="1" fillId="0" borderId="0" xfId="0" applyNumberFormat="1" applyFont="1" applyAlignment="1">
      <alignment horizontal="right"/>
    </xf>
    <xf numFmtId="166" fontId="1" fillId="0" borderId="20" xfId="0" applyNumberFormat="1" applyFont="1" applyBorder="1" applyAlignment="1">
      <alignment horizontal="right"/>
    </xf>
    <xf numFmtId="166" fontId="1" fillId="0" borderId="21" xfId="0" applyNumberFormat="1" applyFont="1" applyBorder="1" applyAlignment="1">
      <alignment horizontal="right"/>
    </xf>
    <xf numFmtId="0" fontId="1" fillId="0" borderId="22" xfId="0" applyFont="1" applyBorder="1"/>
    <xf numFmtId="169" fontId="1" fillId="0" borderId="23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3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49" fontId="9" fillId="0" borderId="0" xfId="0" applyNumberFormat="1" applyFont="1"/>
    <xf numFmtId="37" fontId="9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37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3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39" fontId="14" fillId="0" borderId="0" xfId="0" applyNumberFormat="1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37" fontId="9" fillId="0" borderId="0" xfId="0" applyNumberFormat="1" applyFont="1" applyProtection="1">
      <protection locked="0"/>
    </xf>
    <xf numFmtId="37" fontId="13" fillId="0" borderId="0" xfId="0" applyNumberFormat="1" applyFont="1" applyProtection="1">
      <protection locked="0"/>
    </xf>
    <xf numFmtId="37" fontId="10" fillId="0" borderId="0" xfId="0" applyNumberFormat="1" applyFont="1"/>
    <xf numFmtId="39" fontId="13" fillId="0" borderId="0" xfId="0" applyNumberFormat="1" applyFont="1" applyProtection="1">
      <protection locked="0"/>
    </xf>
    <xf numFmtId="5" fontId="13" fillId="0" borderId="0" xfId="0" applyNumberFormat="1" applyFont="1" applyProtection="1">
      <protection locked="0"/>
    </xf>
    <xf numFmtId="170" fontId="9" fillId="0" borderId="0" xfId="0" applyNumberFormat="1" applyFont="1" applyProtection="1">
      <protection locked="0"/>
    </xf>
    <xf numFmtId="37" fontId="9" fillId="0" borderId="0" xfId="0" applyNumberFormat="1" applyFont="1"/>
    <xf numFmtId="37" fontId="10" fillId="0" borderId="0" xfId="0" applyNumberFormat="1" applyFont="1" applyAlignment="1">
      <alignment horizontal="right"/>
    </xf>
    <xf numFmtId="170" fontId="13" fillId="0" borderId="0" xfId="0" applyNumberFormat="1" applyFont="1" applyProtection="1">
      <protection locked="0"/>
    </xf>
    <xf numFmtId="49" fontId="10" fillId="0" borderId="0" xfId="0" applyNumberFormat="1" applyFont="1"/>
    <xf numFmtId="2" fontId="10" fillId="0" borderId="0" xfId="0" applyNumberFormat="1" applyFont="1"/>
    <xf numFmtId="49" fontId="13" fillId="0" borderId="0" xfId="0" applyNumberFormat="1" applyFont="1" applyProtection="1">
      <protection locked="0"/>
    </xf>
    <xf numFmtId="39" fontId="10" fillId="0" borderId="0" xfId="0" applyNumberFormat="1" applyFont="1"/>
    <xf numFmtId="0" fontId="10" fillId="0" borderId="0" xfId="0" applyFont="1" applyAlignment="1">
      <alignment wrapText="1"/>
    </xf>
    <xf numFmtId="39" fontId="10" fillId="0" borderId="0" xfId="0" applyNumberFormat="1" applyFont="1" applyAlignment="1">
      <alignment shrinkToFit="1"/>
    </xf>
    <xf numFmtId="39" fontId="0" fillId="0" borderId="0" xfId="0" applyNumberFormat="1"/>
    <xf numFmtId="39" fontId="1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2" fillId="0" borderId="0" xfId="0" applyFont="1" applyAlignment="1">
      <alignment horizontal="left"/>
    </xf>
    <xf numFmtId="15" fontId="1" fillId="0" borderId="0" xfId="0" applyNumberFormat="1" applyFont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171" fontId="1" fillId="0" borderId="0" xfId="0" applyNumberFormat="1" applyFont="1" applyProtection="1"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72" fontId="1" fillId="0" borderId="0" xfId="0" applyNumberFormat="1" applyFont="1" applyAlignment="1" applyProtection="1">
      <alignment horizontal="center"/>
      <protection locked="0"/>
    </xf>
    <xf numFmtId="171" fontId="1" fillId="0" borderId="0" xfId="0" applyNumberFormat="1" applyFont="1" applyAlignment="1" applyProtection="1">
      <alignment horizontal="center"/>
      <protection locked="0"/>
    </xf>
    <xf numFmtId="164" fontId="1" fillId="0" borderId="9" xfId="0" applyNumberFormat="1" applyFont="1" applyBorder="1" applyAlignment="1" applyProtection="1">
      <alignment horizontal="left"/>
      <protection locked="0"/>
    </xf>
    <xf numFmtId="164" fontId="1" fillId="0" borderId="9" xfId="0" applyNumberFormat="1" applyFont="1" applyBorder="1" applyAlignment="1" applyProtection="1">
      <alignment horizontal="center"/>
      <protection locked="0"/>
    </xf>
    <xf numFmtId="172" fontId="1" fillId="0" borderId="9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39" fontId="1" fillId="0" borderId="9" xfId="0" applyNumberFormat="1" applyFont="1" applyBorder="1" applyAlignment="1" applyProtection="1">
      <alignment horizontal="center"/>
      <protection locked="0"/>
    </xf>
    <xf numFmtId="173" fontId="1" fillId="0" borderId="9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174" fontId="1" fillId="0" borderId="9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5" fontId="6" fillId="0" borderId="0" xfId="0" applyNumberFormat="1" applyFont="1" applyAlignment="1" applyProtection="1">
      <alignment horizontal="left"/>
      <protection locked="0"/>
    </xf>
    <xf numFmtId="39" fontId="6" fillId="0" borderId="0" xfId="0" applyNumberFormat="1" applyFont="1"/>
    <xf numFmtId="0" fontId="6" fillId="0" borderId="0" xfId="0" applyFont="1" applyAlignment="1" applyProtection="1">
      <alignment horizontal="right"/>
      <protection locked="0"/>
    </xf>
    <xf numFmtId="172" fontId="6" fillId="0" borderId="0" xfId="0" applyNumberFormat="1" applyFont="1" applyProtection="1">
      <protection locked="0"/>
    </xf>
    <xf numFmtId="173" fontId="6" fillId="0" borderId="0" xfId="0" applyNumberFormat="1" applyFont="1" applyProtection="1">
      <protection locked="0"/>
    </xf>
    <xf numFmtId="175" fontId="6" fillId="0" borderId="0" xfId="0" applyNumberFormat="1" applyFont="1" applyAlignment="1">
      <alignment horizontal="right"/>
    </xf>
    <xf numFmtId="176" fontId="6" fillId="0" borderId="0" xfId="0" applyNumberFormat="1" applyFont="1" applyAlignment="1" applyProtection="1">
      <alignment horizontal="left"/>
      <protection locked="0"/>
    </xf>
    <xf numFmtId="2" fontId="6" fillId="0" borderId="0" xfId="0" applyNumberFormat="1" applyFont="1"/>
    <xf numFmtId="39" fontId="6" fillId="0" borderId="9" xfId="0" applyNumberFormat="1" applyFont="1" applyBorder="1"/>
    <xf numFmtId="0" fontId="6" fillId="0" borderId="0" xfId="0" applyFont="1" applyProtection="1">
      <protection locked="0"/>
    </xf>
    <xf numFmtId="39" fontId="6" fillId="0" borderId="0" xfId="0" applyNumberFormat="1" applyFont="1" applyAlignment="1" applyProtection="1">
      <alignment horizontal="left"/>
      <protection locked="0"/>
    </xf>
    <xf numFmtId="39" fontId="6" fillId="0" borderId="10" xfId="0" applyNumberFormat="1" applyFont="1" applyBorder="1"/>
    <xf numFmtId="39" fontId="6" fillId="0" borderId="0" xfId="0" applyNumberFormat="1" applyFont="1" applyProtection="1">
      <protection locked="0"/>
    </xf>
    <xf numFmtId="39" fontId="16" fillId="0" borderId="0" xfId="0" applyNumberFormat="1" applyFont="1"/>
    <xf numFmtId="39" fontId="6" fillId="0" borderId="0" xfId="0" applyNumberFormat="1" applyFont="1" applyAlignment="1">
      <alignment horizontal="left"/>
    </xf>
    <xf numFmtId="175" fontId="6" fillId="0" borderId="0" xfId="0" applyNumberFormat="1" applyFont="1" applyAlignment="1">
      <alignment horizontal="left"/>
    </xf>
    <xf numFmtId="39" fontId="9" fillId="0" borderId="0" xfId="0" applyNumberFormat="1" applyFont="1" applyAlignment="1">
      <alignment horizontal="left"/>
    </xf>
    <xf numFmtId="14" fontId="2" fillId="0" borderId="0" xfId="0" applyNumberFormat="1" applyFont="1"/>
    <xf numFmtId="0" fontId="6" fillId="0" borderId="0" xfId="0" applyFont="1" applyAlignment="1">
      <alignment horizontal="right"/>
    </xf>
    <xf numFmtId="176" fontId="6" fillId="0" borderId="0" xfId="0" applyNumberFormat="1" applyFont="1" applyAlignment="1" applyProtection="1">
      <alignment horizontal="right"/>
      <protection locked="0"/>
    </xf>
    <xf numFmtId="175" fontId="6" fillId="0" borderId="0" xfId="0" applyNumberFormat="1" applyFont="1" applyAlignment="1" applyProtection="1">
      <alignment horizontal="right"/>
      <protection locked="0"/>
    </xf>
    <xf numFmtId="39" fontId="6" fillId="0" borderId="0" xfId="0" applyNumberFormat="1" applyFont="1" applyAlignment="1" applyProtection="1">
      <alignment horizontal="right"/>
      <protection locked="0"/>
    </xf>
    <xf numFmtId="175" fontId="6" fillId="0" borderId="0" xfId="0" applyNumberFormat="1" applyFont="1"/>
    <xf numFmtId="4" fontId="2" fillId="0" borderId="0" xfId="0" applyNumberFormat="1" applyFont="1"/>
    <xf numFmtId="0" fontId="6" fillId="0" borderId="0" xfId="0" applyFont="1" applyAlignment="1">
      <alignment horizontal="left"/>
    </xf>
    <xf numFmtId="4" fontId="6" fillId="0" borderId="0" xfId="0" applyNumberFormat="1" applyFont="1"/>
    <xf numFmtId="175" fontId="6" fillId="0" borderId="0" xfId="0" applyNumberFormat="1" applyFont="1" applyProtection="1">
      <protection locked="0"/>
    </xf>
    <xf numFmtId="4" fontId="6" fillId="0" borderId="9" xfId="0" applyNumberFormat="1" applyFont="1" applyBorder="1"/>
    <xf numFmtId="14" fontId="6" fillId="0" borderId="0" xfId="0" applyNumberFormat="1" applyFont="1" applyAlignment="1">
      <alignment horizontal="left"/>
    </xf>
    <xf numFmtId="0" fontId="2" fillId="0" borderId="9" xfId="0" applyFont="1" applyBorder="1"/>
    <xf numFmtId="176" fontId="6" fillId="0" borderId="0" xfId="0" applyNumberFormat="1" applyFont="1" applyProtection="1">
      <protection locked="0"/>
    </xf>
    <xf numFmtId="164" fontId="9" fillId="0" borderId="0" xfId="0" applyNumberFormat="1" applyFont="1" applyAlignment="1" applyProtection="1">
      <alignment horizontal="left"/>
      <protection locked="0"/>
    </xf>
    <xf numFmtId="175" fontId="6" fillId="0" borderId="0" xfId="0" applyNumberFormat="1" applyFont="1" applyAlignment="1">
      <alignment horizontal="center"/>
    </xf>
    <xf numFmtId="164" fontId="6" fillId="0" borderId="0" xfId="0" applyNumberFormat="1" applyFont="1" applyAlignment="1" applyProtection="1">
      <alignment horizontal="left"/>
      <protection locked="0"/>
    </xf>
    <xf numFmtId="176" fontId="6" fillId="0" borderId="0" xfId="0" quotePrefix="1" applyNumberFormat="1" applyFont="1" applyAlignment="1" applyProtection="1">
      <alignment horizontal="left"/>
      <protection locked="0"/>
    </xf>
    <xf numFmtId="173" fontId="6" fillId="0" borderId="0" xfId="0" applyNumberFormat="1" applyFont="1"/>
    <xf numFmtId="172" fontId="6" fillId="0" borderId="0" xfId="0" applyNumberFormat="1" applyFont="1"/>
    <xf numFmtId="177" fontId="6" fillId="0" borderId="0" xfId="0" applyNumberFormat="1" applyFont="1"/>
    <xf numFmtId="178" fontId="6" fillId="0" borderId="0" xfId="0" applyNumberFormat="1" applyFont="1"/>
    <xf numFmtId="179" fontId="6" fillId="0" borderId="0" xfId="0" applyNumberFormat="1" applyFont="1"/>
    <xf numFmtId="39" fontId="6" fillId="0" borderId="2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Administration\Finance\Accounting\tbarlow\Investment%20reports\2026\QT%20JUN%202026.xls" TargetMode="External"/><Relationship Id="rId1" Type="http://schemas.openxmlformats.org/officeDocument/2006/relationships/externalLinkPath" Target="file:///N:\Administration\Finance\Accounting\tbarlow\Investment%20reports\2026\QT%20JUN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T REPORT"/>
      <sheetName val="WA BY MONTH"/>
    </sheetNames>
    <sheetDataSet>
      <sheetData sheetId="0" refreshError="1"/>
      <sheetData sheetId="1">
        <row r="6">
          <cell r="C6">
            <v>535286344.43835163</v>
          </cell>
        </row>
        <row r="12">
          <cell r="C12">
            <v>326712524.29956043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E04-4FDA-4BFD-AA61-0F7BFF9C918F}">
  <sheetPr>
    <pageSetUpPr fitToPage="1"/>
  </sheetPr>
  <dimension ref="A1:K44"/>
  <sheetViews>
    <sheetView workbookViewId="0"/>
  </sheetViews>
  <sheetFormatPr defaultColWidth="9.1796875" defaultRowHeight="12.5" x14ac:dyDescent="0.25"/>
  <cols>
    <col min="1" max="1" width="11.7265625" style="2" customWidth="1"/>
    <col min="2" max="2" width="51.453125" style="2" customWidth="1"/>
    <col min="3" max="3" width="22.1796875" style="2" customWidth="1"/>
    <col min="4" max="4" width="21.7265625" style="2" customWidth="1"/>
    <col min="5" max="5" width="5.1796875" style="2" customWidth="1"/>
    <col min="6" max="6" width="20.26953125" style="2" customWidth="1"/>
    <col min="7" max="7" width="9.1796875" style="2"/>
    <col min="8" max="8" width="21.1796875" style="2" bestFit="1" customWidth="1"/>
    <col min="9" max="9" width="17.453125" style="2" bestFit="1" customWidth="1"/>
    <col min="10" max="10" width="24.26953125" style="2" bestFit="1" customWidth="1"/>
    <col min="11" max="11" width="12.26953125" style="2" customWidth="1"/>
    <col min="12" max="16384" width="9.1796875" style="2"/>
  </cols>
  <sheetData>
    <row r="1" spans="1:8" ht="17.5" x14ac:dyDescent="0.3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3"/>
      <c r="B2" s="3"/>
      <c r="C2" s="4" t="s">
        <v>0</v>
      </c>
      <c r="F2" s="3"/>
      <c r="G2" s="5" t="s">
        <v>1</v>
      </c>
      <c r="H2" s="1"/>
    </row>
    <row r="3" spans="1:8" ht="18" x14ac:dyDescent="0.4">
      <c r="A3" s="3"/>
      <c r="B3" s="3"/>
      <c r="C3" s="4" t="s">
        <v>2</v>
      </c>
      <c r="F3" s="3"/>
      <c r="G3" s="3"/>
      <c r="H3" s="1"/>
    </row>
    <row r="4" spans="1:8" ht="18" x14ac:dyDescent="0.4">
      <c r="A4" s="3"/>
      <c r="B4" s="3"/>
      <c r="C4" s="4" t="s">
        <v>3</v>
      </c>
      <c r="F4" s="3"/>
      <c r="G4" s="3"/>
      <c r="H4" s="1"/>
    </row>
    <row r="5" spans="1:8" ht="18" x14ac:dyDescent="0.4">
      <c r="A5" s="3"/>
      <c r="B5" s="3"/>
      <c r="C5" s="6" t="s">
        <v>4</v>
      </c>
      <c r="F5" s="3"/>
      <c r="G5" s="3"/>
      <c r="H5" s="1"/>
    </row>
    <row r="6" spans="1:8" ht="17.5" x14ac:dyDescent="0.35">
      <c r="A6" s="1"/>
      <c r="B6" s="1"/>
      <c r="C6" s="1"/>
      <c r="D6" s="1"/>
      <c r="E6" s="1"/>
      <c r="F6" s="1"/>
      <c r="G6" s="1"/>
      <c r="H6" s="1"/>
    </row>
    <row r="7" spans="1:8" ht="17.5" x14ac:dyDescent="0.35">
      <c r="A7" s="1"/>
      <c r="B7" s="1"/>
      <c r="C7" s="1"/>
      <c r="D7" s="1"/>
      <c r="E7" s="1"/>
      <c r="F7" s="1"/>
      <c r="G7" s="1"/>
      <c r="H7" s="1"/>
    </row>
    <row r="8" spans="1:8" ht="17.5" x14ac:dyDescent="0.35">
      <c r="A8" s="1"/>
      <c r="B8" s="1"/>
      <c r="C8" s="1"/>
      <c r="D8" s="1"/>
      <c r="E8" s="1"/>
      <c r="F8" s="1"/>
      <c r="G8" s="1"/>
      <c r="H8" s="1"/>
    </row>
    <row r="9" spans="1:8" ht="17.5" x14ac:dyDescent="0.35">
      <c r="A9" s="1"/>
      <c r="B9" s="1"/>
      <c r="C9" s="1"/>
      <c r="D9" s="1"/>
      <c r="E9" s="1"/>
      <c r="F9" s="1"/>
      <c r="G9" s="1"/>
      <c r="H9" s="1"/>
    </row>
    <row r="10" spans="1:8" ht="18" thickBot="1" x14ac:dyDescent="0.4">
      <c r="A10" s="1"/>
      <c r="B10" s="1"/>
      <c r="C10" s="1"/>
      <c r="D10" s="1"/>
      <c r="E10" s="1"/>
      <c r="F10" s="1"/>
      <c r="G10" s="1"/>
      <c r="H10" s="1"/>
    </row>
    <row r="11" spans="1:8" ht="18" thickTop="1" x14ac:dyDescent="0.35">
      <c r="A11" s="1"/>
      <c r="B11" s="7"/>
      <c r="C11" s="8"/>
      <c r="D11" s="8"/>
      <c r="E11" s="8"/>
      <c r="F11" s="8"/>
      <c r="G11" s="9"/>
      <c r="H11" s="1"/>
    </row>
    <row r="12" spans="1:8" ht="17.5" x14ac:dyDescent="0.35">
      <c r="A12" s="1"/>
      <c r="B12" s="10"/>
      <c r="C12" s="1"/>
      <c r="D12" s="11" t="s">
        <v>5</v>
      </c>
      <c r="F12" s="1"/>
      <c r="G12" s="12"/>
      <c r="H12" s="1"/>
    </row>
    <row r="13" spans="1:8" ht="17.5" x14ac:dyDescent="0.35">
      <c r="A13" s="1"/>
      <c r="B13" s="10"/>
      <c r="C13" s="1"/>
      <c r="D13" s="13" t="s">
        <v>6</v>
      </c>
      <c r="E13" s="1"/>
      <c r="F13" s="1"/>
      <c r="G13" s="12"/>
      <c r="H13" s="1"/>
    </row>
    <row r="14" spans="1:8" ht="17.5" x14ac:dyDescent="0.35">
      <c r="A14" s="1"/>
      <c r="B14" s="10"/>
      <c r="C14" s="1"/>
      <c r="D14" s="1"/>
      <c r="E14" s="1"/>
      <c r="F14" s="1"/>
      <c r="G14" s="14"/>
      <c r="H14" s="1"/>
    </row>
    <row r="15" spans="1:8" ht="18" x14ac:dyDescent="0.4">
      <c r="A15" s="1"/>
      <c r="B15" s="15" t="s">
        <v>7</v>
      </c>
      <c r="C15" s="1"/>
      <c r="D15" s="16">
        <v>2025</v>
      </c>
      <c r="E15" s="1"/>
      <c r="F15" s="16">
        <v>2026</v>
      </c>
      <c r="G15" s="14"/>
      <c r="H15" s="1"/>
    </row>
    <row r="16" spans="1:8" ht="17.5" x14ac:dyDescent="0.35">
      <c r="A16" s="1"/>
      <c r="B16" s="10"/>
      <c r="C16" s="1"/>
      <c r="D16" s="1"/>
      <c r="E16" s="1"/>
      <c r="G16" s="12"/>
      <c r="H16" s="1"/>
    </row>
    <row r="17" spans="1:10" ht="17.5" x14ac:dyDescent="0.35">
      <c r="A17" s="1"/>
      <c r="B17" s="17" t="s">
        <v>8</v>
      </c>
      <c r="C17" s="18"/>
      <c r="D17" s="19">
        <v>1045518752</v>
      </c>
      <c r="E17" s="19"/>
      <c r="F17" s="19">
        <v>865542874</v>
      </c>
      <c r="G17" s="14"/>
      <c r="H17" s="1"/>
    </row>
    <row r="18" spans="1:10" ht="17.5" x14ac:dyDescent="0.35">
      <c r="A18" s="1"/>
      <c r="B18" s="17" t="s">
        <v>9</v>
      </c>
      <c r="C18" s="18"/>
      <c r="D18" s="19">
        <v>1039070932</v>
      </c>
      <c r="E18" s="19"/>
      <c r="F18" s="19">
        <v>899007496</v>
      </c>
      <c r="G18" s="14"/>
      <c r="H18" s="1"/>
    </row>
    <row r="19" spans="1:10" ht="17.5" x14ac:dyDescent="0.35">
      <c r="A19" s="1"/>
      <c r="B19" s="17" t="s">
        <v>10</v>
      </c>
      <c r="C19" s="18"/>
      <c r="D19" s="19">
        <v>1044103537.16</v>
      </c>
      <c r="E19" s="19"/>
      <c r="F19" s="19">
        <v>876423055</v>
      </c>
      <c r="G19" s="14"/>
      <c r="H19" s="1"/>
    </row>
    <row r="20" spans="1:10" ht="17.5" x14ac:dyDescent="0.35">
      <c r="A20" s="1"/>
      <c r="B20" s="17" t="s">
        <v>11</v>
      </c>
      <c r="C20" s="18"/>
      <c r="D20" s="19">
        <v>1046908995</v>
      </c>
      <c r="E20" s="19"/>
      <c r="F20" s="19">
        <v>868239478</v>
      </c>
      <c r="G20" s="14"/>
      <c r="H20" s="1"/>
    </row>
    <row r="21" spans="1:10" ht="17.5" x14ac:dyDescent="0.35">
      <c r="A21" s="1"/>
      <c r="B21" s="17" t="s">
        <v>12</v>
      </c>
      <c r="C21" s="18"/>
      <c r="D21" s="20">
        <v>1015412314</v>
      </c>
      <c r="E21" s="19"/>
      <c r="F21" s="20">
        <v>865693822</v>
      </c>
      <c r="G21" s="14"/>
      <c r="H21" s="1"/>
    </row>
    <row r="22" spans="1:10" ht="17.5" x14ac:dyDescent="0.35">
      <c r="A22" s="1"/>
      <c r="B22" s="17" t="s">
        <v>13</v>
      </c>
      <c r="C22" s="18"/>
      <c r="D22" s="20">
        <v>984822790.90999997</v>
      </c>
      <c r="E22" s="19"/>
      <c r="F22" s="20">
        <v>851940141</v>
      </c>
      <c r="G22" s="14"/>
      <c r="H22" s="1"/>
    </row>
    <row r="23" spans="1:10" ht="17.5" x14ac:dyDescent="0.35">
      <c r="A23" s="1"/>
      <c r="B23" s="17" t="s">
        <v>14</v>
      </c>
      <c r="C23" s="18"/>
      <c r="D23" s="20">
        <v>952163968</v>
      </c>
      <c r="E23" s="19"/>
      <c r="F23" s="20"/>
      <c r="G23" s="14"/>
      <c r="H23" s="1"/>
    </row>
    <row r="24" spans="1:10" ht="17.5" x14ac:dyDescent="0.35">
      <c r="A24" s="1"/>
      <c r="B24" s="17" t="s">
        <v>15</v>
      </c>
      <c r="C24" s="18"/>
      <c r="D24" s="20">
        <v>926630093</v>
      </c>
      <c r="E24" s="19"/>
      <c r="F24" s="20"/>
      <c r="G24" s="14"/>
      <c r="H24" s="1"/>
    </row>
    <row r="25" spans="1:10" ht="17.5" x14ac:dyDescent="0.35">
      <c r="A25" s="1"/>
      <c r="B25" s="17" t="s">
        <v>16</v>
      </c>
      <c r="C25" s="18"/>
      <c r="D25" s="20">
        <v>914417574</v>
      </c>
      <c r="E25" s="19"/>
      <c r="F25" s="20"/>
      <c r="G25" s="14"/>
      <c r="H25" s="1"/>
    </row>
    <row r="26" spans="1:10" ht="17.5" x14ac:dyDescent="0.35">
      <c r="A26" s="1"/>
      <c r="B26" s="17" t="s">
        <v>17</v>
      </c>
      <c r="C26" s="18"/>
      <c r="D26" s="20">
        <v>904582561</v>
      </c>
      <c r="E26" s="19"/>
      <c r="F26" s="20"/>
      <c r="G26" s="14"/>
      <c r="H26" s="1"/>
    </row>
    <row r="27" spans="1:10" ht="17.5" x14ac:dyDescent="0.35">
      <c r="A27" s="1"/>
      <c r="B27" s="17" t="s">
        <v>18</v>
      </c>
      <c r="C27" s="18"/>
      <c r="D27" s="20">
        <v>903442916</v>
      </c>
      <c r="E27" s="19"/>
      <c r="F27" s="20"/>
      <c r="G27" s="14"/>
      <c r="H27" s="1"/>
    </row>
    <row r="28" spans="1:10" ht="17.5" x14ac:dyDescent="0.35">
      <c r="A28" s="1"/>
      <c r="B28" s="17" t="s">
        <v>19</v>
      </c>
      <c r="C28" s="18"/>
      <c r="D28" s="20">
        <v>871766327</v>
      </c>
      <c r="E28" s="19"/>
      <c r="F28" s="20"/>
      <c r="G28" s="14"/>
      <c r="H28" s="1"/>
    </row>
    <row r="29" spans="1:10" ht="17.5" x14ac:dyDescent="0.35">
      <c r="A29" s="1"/>
      <c r="B29" s="10"/>
      <c r="C29" s="18"/>
      <c r="D29" s="19"/>
      <c r="E29" s="19"/>
      <c r="F29" s="19"/>
      <c r="G29" s="14"/>
      <c r="H29" s="1"/>
    </row>
    <row r="30" spans="1:10" ht="17.5" x14ac:dyDescent="0.35">
      <c r="A30" s="1"/>
      <c r="B30" s="17" t="s">
        <v>20</v>
      </c>
      <c r="C30" s="18"/>
      <c r="D30" s="21">
        <f>((D17*31/365)+(D18*28/365)+(D19*31/365)+(D20*30/365)+(D21*31/365)+(D22*30/365)+(D23*31/365)+(D24*31/365)+(D25*30/365)+(D26*31/365)+(D27*30/365)+(D28*31/365))*(365/365)</f>
        <v>970266461.61715055</v>
      </c>
      <c r="E30" s="19"/>
      <c r="F30" s="21">
        <f>((F17*31/365)+(F18*28/365)+(F19*31/365)+(F20*30/365)+(F21*31/365)+(F22*30/365)+(F23*31/365)+(F24*31/365)+(F25*30/365)+(F26*31/365)+(F27*30/365)+(F28*31/365))*(365/181)</f>
        <v>870801385.29834259</v>
      </c>
      <c r="G30" s="14"/>
      <c r="H30" s="21"/>
    </row>
    <row r="31" spans="1:10" ht="17.5" x14ac:dyDescent="0.35">
      <c r="A31" s="1"/>
      <c r="B31" s="10"/>
      <c r="C31" s="18"/>
      <c r="D31" s="19" t="s">
        <v>21</v>
      </c>
      <c r="E31" s="19"/>
      <c r="F31" s="19" t="s">
        <v>21</v>
      </c>
      <c r="G31" s="14"/>
      <c r="H31" s="1"/>
    </row>
    <row r="32" spans="1:10" ht="17.5" x14ac:dyDescent="0.35">
      <c r="A32" s="1"/>
      <c r="B32" s="17" t="s">
        <v>22</v>
      </c>
      <c r="C32" s="18"/>
      <c r="D32" s="19">
        <f>5624524.6+4390.63+1020183.02+28153.75+3464452+344680+3381966+3358+3384102+42823+3152225-5213+3008860-18553+4+3102140-13301+2855221+4064+2884643-857+2755499+11538+2728351+96276</f>
        <v>37859530</v>
      </c>
      <c r="E32" s="22" t="s">
        <v>21</v>
      </c>
      <c r="F32" s="19">
        <f>2690479-2107+2526769+1050+2663187-277767+2671571+0.91+1806427+881396-567421+2621678+100180+70000</f>
        <v>15185442.91</v>
      </c>
      <c r="G32" s="14"/>
      <c r="H32" s="23"/>
      <c r="I32" s="24"/>
      <c r="J32" s="25"/>
    </row>
    <row r="33" spans="1:11" ht="17.5" x14ac:dyDescent="0.35">
      <c r="A33" s="1"/>
      <c r="B33" s="10"/>
      <c r="C33" s="18"/>
      <c r="D33" s="19"/>
      <c r="E33" s="26" t="s">
        <v>21</v>
      </c>
      <c r="F33" s="19"/>
      <c r="G33" s="14"/>
      <c r="H33" s="23"/>
      <c r="I33" s="24"/>
      <c r="J33" s="25"/>
    </row>
    <row r="34" spans="1:11" ht="17.5" x14ac:dyDescent="0.35">
      <c r="A34" s="1"/>
      <c r="B34" s="17" t="s">
        <v>23</v>
      </c>
      <c r="C34" s="18"/>
      <c r="D34" s="21">
        <f>(D32*365)/365</f>
        <v>37859530</v>
      </c>
      <c r="E34" s="22" t="s">
        <v>21</v>
      </c>
      <c r="F34" s="21">
        <f>(F32*365)/181</f>
        <v>30622578.243922651</v>
      </c>
      <c r="G34" s="14"/>
      <c r="H34" s="23"/>
      <c r="I34" s="24"/>
      <c r="J34" s="25"/>
    </row>
    <row r="35" spans="1:11" ht="17.5" x14ac:dyDescent="0.35">
      <c r="A35" s="1"/>
      <c r="B35" s="10"/>
      <c r="C35" s="18"/>
      <c r="D35" s="1"/>
      <c r="E35" s="3"/>
      <c r="F35" s="1"/>
      <c r="G35" s="14"/>
      <c r="H35" s="23"/>
      <c r="I35" s="24"/>
      <c r="J35" s="25"/>
    </row>
    <row r="36" spans="1:11" ht="17.5" x14ac:dyDescent="0.35">
      <c r="A36" s="1"/>
      <c r="B36" s="17" t="s">
        <v>24</v>
      </c>
      <c r="C36" s="18"/>
      <c r="D36" s="27">
        <f>D34/D30*100</f>
        <v>3.9019724475376827</v>
      </c>
      <c r="E36" s="28" t="s">
        <v>21</v>
      </c>
      <c r="F36" s="27">
        <f>F34/F30*100</f>
        <v>3.5165973275790257</v>
      </c>
      <c r="G36" s="14"/>
      <c r="H36" s="23"/>
      <c r="I36" s="25"/>
      <c r="J36" s="25"/>
      <c r="K36" s="25"/>
    </row>
    <row r="37" spans="1:11" ht="17.5" x14ac:dyDescent="0.35">
      <c r="A37" s="1"/>
      <c r="B37" s="10"/>
      <c r="C37" s="1"/>
      <c r="D37" s="1"/>
      <c r="E37" s="1"/>
      <c r="F37" s="1"/>
      <c r="G37" s="12"/>
      <c r="H37" s="1"/>
    </row>
    <row r="38" spans="1:11" ht="18" thickBot="1" x14ac:dyDescent="0.4">
      <c r="A38" s="1"/>
      <c r="B38" s="29"/>
      <c r="C38" s="30"/>
      <c r="D38" s="30"/>
      <c r="E38" s="30"/>
      <c r="F38" s="30"/>
      <c r="G38" s="31"/>
      <c r="H38" s="1"/>
    </row>
    <row r="39" spans="1:11" ht="18" thickTop="1" x14ac:dyDescent="0.35">
      <c r="A39" s="1"/>
      <c r="B39" s="1"/>
      <c r="C39" s="1"/>
      <c r="D39" s="1"/>
      <c r="E39" s="1"/>
      <c r="F39" s="1"/>
      <c r="G39" s="1"/>
      <c r="H39" s="1"/>
    </row>
    <row r="40" spans="1:11" ht="17.5" x14ac:dyDescent="0.35">
      <c r="A40" s="1"/>
      <c r="B40" s="1"/>
      <c r="C40" s="1"/>
      <c r="D40" s="1"/>
      <c r="E40" s="1"/>
      <c r="F40" s="1"/>
      <c r="G40" s="1"/>
      <c r="H40" s="1"/>
    </row>
    <row r="41" spans="1:11" ht="17.5" x14ac:dyDescent="0.35">
      <c r="A41" s="1"/>
      <c r="B41" s="1"/>
      <c r="C41" s="1"/>
      <c r="D41" s="1"/>
      <c r="E41" s="1"/>
      <c r="F41" s="1"/>
      <c r="G41" s="1"/>
      <c r="H41" s="1"/>
    </row>
    <row r="42" spans="1:11" ht="17.5" x14ac:dyDescent="0.35">
      <c r="A42" s="1"/>
      <c r="B42" s="18"/>
      <c r="C42" s="1"/>
      <c r="D42" s="1"/>
      <c r="E42" s="1"/>
      <c r="F42" s="1"/>
      <c r="G42" s="1"/>
      <c r="H42" s="1"/>
    </row>
    <row r="43" spans="1:11" ht="17.5" x14ac:dyDescent="0.35">
      <c r="A43" s="1"/>
      <c r="B43" s="18"/>
      <c r="D43" s="1"/>
      <c r="E43" s="1"/>
      <c r="F43" s="1"/>
      <c r="G43" s="1"/>
      <c r="H43" s="1"/>
    </row>
    <row r="44" spans="1:11" ht="17.5" x14ac:dyDescent="0.35">
      <c r="A44" s="1"/>
      <c r="B44" s="18"/>
      <c r="D44" s="1"/>
      <c r="E44" s="1"/>
      <c r="F44" s="1"/>
      <c r="G44" s="1"/>
      <c r="H44" s="1"/>
    </row>
  </sheetData>
  <pageMargins left="0.7" right="0.7" top="0.75" bottom="0.75" header="0.3" footer="0.3"/>
  <pageSetup scale="6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7F1C-FF51-4DB6-AEB3-BF630F440041}">
  <sheetPr>
    <pageSetUpPr fitToPage="1"/>
  </sheetPr>
  <dimension ref="A2:K64"/>
  <sheetViews>
    <sheetView topLeftCell="A6" workbookViewId="0"/>
  </sheetViews>
  <sheetFormatPr defaultColWidth="12.54296875" defaultRowHeight="15.5" x14ac:dyDescent="0.35"/>
  <cols>
    <col min="1" max="1" width="51.1796875" style="32" customWidth="1"/>
    <col min="2" max="2" width="26.7265625" style="32" customWidth="1"/>
    <col min="3" max="3" width="8.453125" style="32" customWidth="1"/>
    <col min="4" max="4" width="16.453125" style="32" customWidth="1"/>
    <col min="5" max="5" width="7.1796875" style="32" customWidth="1"/>
    <col min="6" max="6" width="6.7265625" style="32" customWidth="1"/>
    <col min="7" max="7" width="25.1796875" style="32" customWidth="1"/>
    <col min="8" max="8" width="2.1796875" style="32" customWidth="1"/>
    <col min="9" max="9" width="29.81640625" style="32" customWidth="1"/>
    <col min="10" max="10" width="30.453125" style="32" customWidth="1"/>
    <col min="11" max="256" width="12.54296875" style="32"/>
    <col min="257" max="257" width="51.1796875" style="32" customWidth="1"/>
    <col min="258" max="258" width="26.7265625" style="32" customWidth="1"/>
    <col min="259" max="259" width="8.453125" style="32" customWidth="1"/>
    <col min="260" max="260" width="16.453125" style="32" customWidth="1"/>
    <col min="261" max="261" width="7.1796875" style="32" customWidth="1"/>
    <col min="262" max="262" width="6.7265625" style="32" customWidth="1"/>
    <col min="263" max="263" width="25.1796875" style="32" customWidth="1"/>
    <col min="264" max="264" width="2.1796875" style="32" customWidth="1"/>
    <col min="265" max="265" width="29.81640625" style="32" customWidth="1"/>
    <col min="266" max="266" width="30.453125" style="32" customWidth="1"/>
    <col min="267" max="512" width="12.54296875" style="32"/>
    <col min="513" max="513" width="51.1796875" style="32" customWidth="1"/>
    <col min="514" max="514" width="26.7265625" style="32" customWidth="1"/>
    <col min="515" max="515" width="8.453125" style="32" customWidth="1"/>
    <col min="516" max="516" width="16.453125" style="32" customWidth="1"/>
    <col min="517" max="517" width="7.1796875" style="32" customWidth="1"/>
    <col min="518" max="518" width="6.7265625" style="32" customWidth="1"/>
    <col min="519" max="519" width="25.1796875" style="32" customWidth="1"/>
    <col min="520" max="520" width="2.1796875" style="32" customWidth="1"/>
    <col min="521" max="521" width="29.81640625" style="32" customWidth="1"/>
    <col min="522" max="522" width="30.453125" style="32" customWidth="1"/>
    <col min="523" max="768" width="12.54296875" style="32"/>
    <col min="769" max="769" width="51.1796875" style="32" customWidth="1"/>
    <col min="770" max="770" width="26.7265625" style="32" customWidth="1"/>
    <col min="771" max="771" width="8.453125" style="32" customWidth="1"/>
    <col min="772" max="772" width="16.453125" style="32" customWidth="1"/>
    <col min="773" max="773" width="7.1796875" style="32" customWidth="1"/>
    <col min="774" max="774" width="6.7265625" style="32" customWidth="1"/>
    <col min="775" max="775" width="25.1796875" style="32" customWidth="1"/>
    <col min="776" max="776" width="2.1796875" style="32" customWidth="1"/>
    <col min="777" max="777" width="29.81640625" style="32" customWidth="1"/>
    <col min="778" max="778" width="30.453125" style="32" customWidth="1"/>
    <col min="779" max="1024" width="12.54296875" style="32"/>
    <col min="1025" max="1025" width="51.1796875" style="32" customWidth="1"/>
    <col min="1026" max="1026" width="26.7265625" style="32" customWidth="1"/>
    <col min="1027" max="1027" width="8.453125" style="32" customWidth="1"/>
    <col min="1028" max="1028" width="16.453125" style="32" customWidth="1"/>
    <col min="1029" max="1029" width="7.1796875" style="32" customWidth="1"/>
    <col min="1030" max="1030" width="6.7265625" style="32" customWidth="1"/>
    <col min="1031" max="1031" width="25.1796875" style="32" customWidth="1"/>
    <col min="1032" max="1032" width="2.1796875" style="32" customWidth="1"/>
    <col min="1033" max="1033" width="29.81640625" style="32" customWidth="1"/>
    <col min="1034" max="1034" width="30.453125" style="32" customWidth="1"/>
    <col min="1035" max="1280" width="12.54296875" style="32"/>
    <col min="1281" max="1281" width="51.1796875" style="32" customWidth="1"/>
    <col min="1282" max="1282" width="26.7265625" style="32" customWidth="1"/>
    <col min="1283" max="1283" width="8.453125" style="32" customWidth="1"/>
    <col min="1284" max="1284" width="16.453125" style="32" customWidth="1"/>
    <col min="1285" max="1285" width="7.1796875" style="32" customWidth="1"/>
    <col min="1286" max="1286" width="6.7265625" style="32" customWidth="1"/>
    <col min="1287" max="1287" width="25.1796875" style="32" customWidth="1"/>
    <col min="1288" max="1288" width="2.1796875" style="32" customWidth="1"/>
    <col min="1289" max="1289" width="29.81640625" style="32" customWidth="1"/>
    <col min="1290" max="1290" width="30.453125" style="32" customWidth="1"/>
    <col min="1291" max="1536" width="12.54296875" style="32"/>
    <col min="1537" max="1537" width="51.1796875" style="32" customWidth="1"/>
    <col min="1538" max="1538" width="26.7265625" style="32" customWidth="1"/>
    <col min="1539" max="1539" width="8.453125" style="32" customWidth="1"/>
    <col min="1540" max="1540" width="16.453125" style="32" customWidth="1"/>
    <col min="1541" max="1541" width="7.1796875" style="32" customWidth="1"/>
    <col min="1542" max="1542" width="6.7265625" style="32" customWidth="1"/>
    <col min="1543" max="1543" width="25.1796875" style="32" customWidth="1"/>
    <col min="1544" max="1544" width="2.1796875" style="32" customWidth="1"/>
    <col min="1545" max="1545" width="29.81640625" style="32" customWidth="1"/>
    <col min="1546" max="1546" width="30.453125" style="32" customWidth="1"/>
    <col min="1547" max="1792" width="12.54296875" style="32"/>
    <col min="1793" max="1793" width="51.1796875" style="32" customWidth="1"/>
    <col min="1794" max="1794" width="26.7265625" style="32" customWidth="1"/>
    <col min="1795" max="1795" width="8.453125" style="32" customWidth="1"/>
    <col min="1796" max="1796" width="16.453125" style="32" customWidth="1"/>
    <col min="1797" max="1797" width="7.1796875" style="32" customWidth="1"/>
    <col min="1798" max="1798" width="6.7265625" style="32" customWidth="1"/>
    <col min="1799" max="1799" width="25.1796875" style="32" customWidth="1"/>
    <col min="1800" max="1800" width="2.1796875" style="32" customWidth="1"/>
    <col min="1801" max="1801" width="29.81640625" style="32" customWidth="1"/>
    <col min="1802" max="1802" width="30.453125" style="32" customWidth="1"/>
    <col min="1803" max="2048" width="12.54296875" style="32"/>
    <col min="2049" max="2049" width="51.1796875" style="32" customWidth="1"/>
    <col min="2050" max="2050" width="26.7265625" style="32" customWidth="1"/>
    <col min="2051" max="2051" width="8.453125" style="32" customWidth="1"/>
    <col min="2052" max="2052" width="16.453125" style="32" customWidth="1"/>
    <col min="2053" max="2053" width="7.1796875" style="32" customWidth="1"/>
    <col min="2054" max="2054" width="6.7265625" style="32" customWidth="1"/>
    <col min="2055" max="2055" width="25.1796875" style="32" customWidth="1"/>
    <col min="2056" max="2056" width="2.1796875" style="32" customWidth="1"/>
    <col min="2057" max="2057" width="29.81640625" style="32" customWidth="1"/>
    <col min="2058" max="2058" width="30.453125" style="32" customWidth="1"/>
    <col min="2059" max="2304" width="12.54296875" style="32"/>
    <col min="2305" max="2305" width="51.1796875" style="32" customWidth="1"/>
    <col min="2306" max="2306" width="26.7265625" style="32" customWidth="1"/>
    <col min="2307" max="2307" width="8.453125" style="32" customWidth="1"/>
    <col min="2308" max="2308" width="16.453125" style="32" customWidth="1"/>
    <col min="2309" max="2309" width="7.1796875" style="32" customWidth="1"/>
    <col min="2310" max="2310" width="6.7265625" style="32" customWidth="1"/>
    <col min="2311" max="2311" width="25.1796875" style="32" customWidth="1"/>
    <col min="2312" max="2312" width="2.1796875" style="32" customWidth="1"/>
    <col min="2313" max="2313" width="29.81640625" style="32" customWidth="1"/>
    <col min="2314" max="2314" width="30.453125" style="32" customWidth="1"/>
    <col min="2315" max="2560" width="12.54296875" style="32"/>
    <col min="2561" max="2561" width="51.1796875" style="32" customWidth="1"/>
    <col min="2562" max="2562" width="26.7265625" style="32" customWidth="1"/>
    <col min="2563" max="2563" width="8.453125" style="32" customWidth="1"/>
    <col min="2564" max="2564" width="16.453125" style="32" customWidth="1"/>
    <col min="2565" max="2565" width="7.1796875" style="32" customWidth="1"/>
    <col min="2566" max="2566" width="6.7265625" style="32" customWidth="1"/>
    <col min="2567" max="2567" width="25.1796875" style="32" customWidth="1"/>
    <col min="2568" max="2568" width="2.1796875" style="32" customWidth="1"/>
    <col min="2569" max="2569" width="29.81640625" style="32" customWidth="1"/>
    <col min="2570" max="2570" width="30.453125" style="32" customWidth="1"/>
    <col min="2571" max="2816" width="12.54296875" style="32"/>
    <col min="2817" max="2817" width="51.1796875" style="32" customWidth="1"/>
    <col min="2818" max="2818" width="26.7265625" style="32" customWidth="1"/>
    <col min="2819" max="2819" width="8.453125" style="32" customWidth="1"/>
    <col min="2820" max="2820" width="16.453125" style="32" customWidth="1"/>
    <col min="2821" max="2821" width="7.1796875" style="32" customWidth="1"/>
    <col min="2822" max="2822" width="6.7265625" style="32" customWidth="1"/>
    <col min="2823" max="2823" width="25.1796875" style="32" customWidth="1"/>
    <col min="2824" max="2824" width="2.1796875" style="32" customWidth="1"/>
    <col min="2825" max="2825" width="29.81640625" style="32" customWidth="1"/>
    <col min="2826" max="2826" width="30.453125" style="32" customWidth="1"/>
    <col min="2827" max="3072" width="12.54296875" style="32"/>
    <col min="3073" max="3073" width="51.1796875" style="32" customWidth="1"/>
    <col min="3074" max="3074" width="26.7265625" style="32" customWidth="1"/>
    <col min="3075" max="3075" width="8.453125" style="32" customWidth="1"/>
    <col min="3076" max="3076" width="16.453125" style="32" customWidth="1"/>
    <col min="3077" max="3077" width="7.1796875" style="32" customWidth="1"/>
    <col min="3078" max="3078" width="6.7265625" style="32" customWidth="1"/>
    <col min="3079" max="3079" width="25.1796875" style="32" customWidth="1"/>
    <col min="3080" max="3080" width="2.1796875" style="32" customWidth="1"/>
    <col min="3081" max="3081" width="29.81640625" style="32" customWidth="1"/>
    <col min="3082" max="3082" width="30.453125" style="32" customWidth="1"/>
    <col min="3083" max="3328" width="12.54296875" style="32"/>
    <col min="3329" max="3329" width="51.1796875" style="32" customWidth="1"/>
    <col min="3330" max="3330" width="26.7265625" style="32" customWidth="1"/>
    <col min="3331" max="3331" width="8.453125" style="32" customWidth="1"/>
    <col min="3332" max="3332" width="16.453125" style="32" customWidth="1"/>
    <col min="3333" max="3333" width="7.1796875" style="32" customWidth="1"/>
    <col min="3334" max="3334" width="6.7265625" style="32" customWidth="1"/>
    <col min="3335" max="3335" width="25.1796875" style="32" customWidth="1"/>
    <col min="3336" max="3336" width="2.1796875" style="32" customWidth="1"/>
    <col min="3337" max="3337" width="29.81640625" style="32" customWidth="1"/>
    <col min="3338" max="3338" width="30.453125" style="32" customWidth="1"/>
    <col min="3339" max="3584" width="12.54296875" style="32"/>
    <col min="3585" max="3585" width="51.1796875" style="32" customWidth="1"/>
    <col min="3586" max="3586" width="26.7265625" style="32" customWidth="1"/>
    <col min="3587" max="3587" width="8.453125" style="32" customWidth="1"/>
    <col min="3588" max="3588" width="16.453125" style="32" customWidth="1"/>
    <col min="3589" max="3589" width="7.1796875" style="32" customWidth="1"/>
    <col min="3590" max="3590" width="6.7265625" style="32" customWidth="1"/>
    <col min="3591" max="3591" width="25.1796875" style="32" customWidth="1"/>
    <col min="3592" max="3592" width="2.1796875" style="32" customWidth="1"/>
    <col min="3593" max="3593" width="29.81640625" style="32" customWidth="1"/>
    <col min="3594" max="3594" width="30.453125" style="32" customWidth="1"/>
    <col min="3595" max="3840" width="12.54296875" style="32"/>
    <col min="3841" max="3841" width="51.1796875" style="32" customWidth="1"/>
    <col min="3842" max="3842" width="26.7265625" style="32" customWidth="1"/>
    <col min="3843" max="3843" width="8.453125" style="32" customWidth="1"/>
    <col min="3844" max="3844" width="16.453125" style="32" customWidth="1"/>
    <col min="3845" max="3845" width="7.1796875" style="32" customWidth="1"/>
    <col min="3846" max="3846" width="6.7265625" style="32" customWidth="1"/>
    <col min="3847" max="3847" width="25.1796875" style="32" customWidth="1"/>
    <col min="3848" max="3848" width="2.1796875" style="32" customWidth="1"/>
    <col min="3849" max="3849" width="29.81640625" style="32" customWidth="1"/>
    <col min="3850" max="3850" width="30.453125" style="32" customWidth="1"/>
    <col min="3851" max="4096" width="12.54296875" style="32"/>
    <col min="4097" max="4097" width="51.1796875" style="32" customWidth="1"/>
    <col min="4098" max="4098" width="26.7265625" style="32" customWidth="1"/>
    <col min="4099" max="4099" width="8.453125" style="32" customWidth="1"/>
    <col min="4100" max="4100" width="16.453125" style="32" customWidth="1"/>
    <col min="4101" max="4101" width="7.1796875" style="32" customWidth="1"/>
    <col min="4102" max="4102" width="6.7265625" style="32" customWidth="1"/>
    <col min="4103" max="4103" width="25.1796875" style="32" customWidth="1"/>
    <col min="4104" max="4104" width="2.1796875" style="32" customWidth="1"/>
    <col min="4105" max="4105" width="29.81640625" style="32" customWidth="1"/>
    <col min="4106" max="4106" width="30.453125" style="32" customWidth="1"/>
    <col min="4107" max="4352" width="12.54296875" style="32"/>
    <col min="4353" max="4353" width="51.1796875" style="32" customWidth="1"/>
    <col min="4354" max="4354" width="26.7265625" style="32" customWidth="1"/>
    <col min="4355" max="4355" width="8.453125" style="32" customWidth="1"/>
    <col min="4356" max="4356" width="16.453125" style="32" customWidth="1"/>
    <col min="4357" max="4357" width="7.1796875" style="32" customWidth="1"/>
    <col min="4358" max="4358" width="6.7265625" style="32" customWidth="1"/>
    <col min="4359" max="4359" width="25.1796875" style="32" customWidth="1"/>
    <col min="4360" max="4360" width="2.1796875" style="32" customWidth="1"/>
    <col min="4361" max="4361" width="29.81640625" style="32" customWidth="1"/>
    <col min="4362" max="4362" width="30.453125" style="32" customWidth="1"/>
    <col min="4363" max="4608" width="12.54296875" style="32"/>
    <col min="4609" max="4609" width="51.1796875" style="32" customWidth="1"/>
    <col min="4610" max="4610" width="26.7265625" style="32" customWidth="1"/>
    <col min="4611" max="4611" width="8.453125" style="32" customWidth="1"/>
    <col min="4612" max="4612" width="16.453125" style="32" customWidth="1"/>
    <col min="4613" max="4613" width="7.1796875" style="32" customWidth="1"/>
    <col min="4614" max="4614" width="6.7265625" style="32" customWidth="1"/>
    <col min="4615" max="4615" width="25.1796875" style="32" customWidth="1"/>
    <col min="4616" max="4616" width="2.1796875" style="32" customWidth="1"/>
    <col min="4617" max="4617" width="29.81640625" style="32" customWidth="1"/>
    <col min="4618" max="4618" width="30.453125" style="32" customWidth="1"/>
    <col min="4619" max="4864" width="12.54296875" style="32"/>
    <col min="4865" max="4865" width="51.1796875" style="32" customWidth="1"/>
    <col min="4866" max="4866" width="26.7265625" style="32" customWidth="1"/>
    <col min="4867" max="4867" width="8.453125" style="32" customWidth="1"/>
    <col min="4868" max="4868" width="16.453125" style="32" customWidth="1"/>
    <col min="4869" max="4869" width="7.1796875" style="32" customWidth="1"/>
    <col min="4870" max="4870" width="6.7265625" style="32" customWidth="1"/>
    <col min="4871" max="4871" width="25.1796875" style="32" customWidth="1"/>
    <col min="4872" max="4872" width="2.1796875" style="32" customWidth="1"/>
    <col min="4873" max="4873" width="29.81640625" style="32" customWidth="1"/>
    <col min="4874" max="4874" width="30.453125" style="32" customWidth="1"/>
    <col min="4875" max="5120" width="12.54296875" style="32"/>
    <col min="5121" max="5121" width="51.1796875" style="32" customWidth="1"/>
    <col min="5122" max="5122" width="26.7265625" style="32" customWidth="1"/>
    <col min="5123" max="5123" width="8.453125" style="32" customWidth="1"/>
    <col min="5124" max="5124" width="16.453125" style="32" customWidth="1"/>
    <col min="5125" max="5125" width="7.1796875" style="32" customWidth="1"/>
    <col min="5126" max="5126" width="6.7265625" style="32" customWidth="1"/>
    <col min="5127" max="5127" width="25.1796875" style="32" customWidth="1"/>
    <col min="5128" max="5128" width="2.1796875" style="32" customWidth="1"/>
    <col min="5129" max="5129" width="29.81640625" style="32" customWidth="1"/>
    <col min="5130" max="5130" width="30.453125" style="32" customWidth="1"/>
    <col min="5131" max="5376" width="12.54296875" style="32"/>
    <col min="5377" max="5377" width="51.1796875" style="32" customWidth="1"/>
    <col min="5378" max="5378" width="26.7265625" style="32" customWidth="1"/>
    <col min="5379" max="5379" width="8.453125" style="32" customWidth="1"/>
    <col min="5380" max="5380" width="16.453125" style="32" customWidth="1"/>
    <col min="5381" max="5381" width="7.1796875" style="32" customWidth="1"/>
    <col min="5382" max="5382" width="6.7265625" style="32" customWidth="1"/>
    <col min="5383" max="5383" width="25.1796875" style="32" customWidth="1"/>
    <col min="5384" max="5384" width="2.1796875" style="32" customWidth="1"/>
    <col min="5385" max="5385" width="29.81640625" style="32" customWidth="1"/>
    <col min="5386" max="5386" width="30.453125" style="32" customWidth="1"/>
    <col min="5387" max="5632" width="12.54296875" style="32"/>
    <col min="5633" max="5633" width="51.1796875" style="32" customWidth="1"/>
    <col min="5634" max="5634" width="26.7265625" style="32" customWidth="1"/>
    <col min="5635" max="5635" width="8.453125" style="32" customWidth="1"/>
    <col min="5636" max="5636" width="16.453125" style="32" customWidth="1"/>
    <col min="5637" max="5637" width="7.1796875" style="32" customWidth="1"/>
    <col min="5638" max="5638" width="6.7265625" style="32" customWidth="1"/>
    <col min="5639" max="5639" width="25.1796875" style="32" customWidth="1"/>
    <col min="5640" max="5640" width="2.1796875" style="32" customWidth="1"/>
    <col min="5641" max="5641" width="29.81640625" style="32" customWidth="1"/>
    <col min="5642" max="5642" width="30.453125" style="32" customWidth="1"/>
    <col min="5643" max="5888" width="12.54296875" style="32"/>
    <col min="5889" max="5889" width="51.1796875" style="32" customWidth="1"/>
    <col min="5890" max="5890" width="26.7265625" style="32" customWidth="1"/>
    <col min="5891" max="5891" width="8.453125" style="32" customWidth="1"/>
    <col min="5892" max="5892" width="16.453125" style="32" customWidth="1"/>
    <col min="5893" max="5893" width="7.1796875" style="32" customWidth="1"/>
    <col min="5894" max="5894" width="6.7265625" style="32" customWidth="1"/>
    <col min="5895" max="5895" width="25.1796875" style="32" customWidth="1"/>
    <col min="5896" max="5896" width="2.1796875" style="32" customWidth="1"/>
    <col min="5897" max="5897" width="29.81640625" style="32" customWidth="1"/>
    <col min="5898" max="5898" width="30.453125" style="32" customWidth="1"/>
    <col min="5899" max="6144" width="12.54296875" style="32"/>
    <col min="6145" max="6145" width="51.1796875" style="32" customWidth="1"/>
    <col min="6146" max="6146" width="26.7265625" style="32" customWidth="1"/>
    <col min="6147" max="6147" width="8.453125" style="32" customWidth="1"/>
    <col min="6148" max="6148" width="16.453125" style="32" customWidth="1"/>
    <col min="6149" max="6149" width="7.1796875" style="32" customWidth="1"/>
    <col min="6150" max="6150" width="6.7265625" style="32" customWidth="1"/>
    <col min="6151" max="6151" width="25.1796875" style="32" customWidth="1"/>
    <col min="6152" max="6152" width="2.1796875" style="32" customWidth="1"/>
    <col min="6153" max="6153" width="29.81640625" style="32" customWidth="1"/>
    <col min="6154" max="6154" width="30.453125" style="32" customWidth="1"/>
    <col min="6155" max="6400" width="12.54296875" style="32"/>
    <col min="6401" max="6401" width="51.1796875" style="32" customWidth="1"/>
    <col min="6402" max="6402" width="26.7265625" style="32" customWidth="1"/>
    <col min="6403" max="6403" width="8.453125" style="32" customWidth="1"/>
    <col min="6404" max="6404" width="16.453125" style="32" customWidth="1"/>
    <col min="6405" max="6405" width="7.1796875" style="32" customWidth="1"/>
    <col min="6406" max="6406" width="6.7265625" style="32" customWidth="1"/>
    <col min="6407" max="6407" width="25.1796875" style="32" customWidth="1"/>
    <col min="6408" max="6408" width="2.1796875" style="32" customWidth="1"/>
    <col min="6409" max="6409" width="29.81640625" style="32" customWidth="1"/>
    <col min="6410" max="6410" width="30.453125" style="32" customWidth="1"/>
    <col min="6411" max="6656" width="12.54296875" style="32"/>
    <col min="6657" max="6657" width="51.1796875" style="32" customWidth="1"/>
    <col min="6658" max="6658" width="26.7265625" style="32" customWidth="1"/>
    <col min="6659" max="6659" width="8.453125" style="32" customWidth="1"/>
    <col min="6660" max="6660" width="16.453125" style="32" customWidth="1"/>
    <col min="6661" max="6661" width="7.1796875" style="32" customWidth="1"/>
    <col min="6662" max="6662" width="6.7265625" style="32" customWidth="1"/>
    <col min="6663" max="6663" width="25.1796875" style="32" customWidth="1"/>
    <col min="6664" max="6664" width="2.1796875" style="32" customWidth="1"/>
    <col min="6665" max="6665" width="29.81640625" style="32" customWidth="1"/>
    <col min="6666" max="6666" width="30.453125" style="32" customWidth="1"/>
    <col min="6667" max="6912" width="12.54296875" style="32"/>
    <col min="6913" max="6913" width="51.1796875" style="32" customWidth="1"/>
    <col min="6914" max="6914" width="26.7265625" style="32" customWidth="1"/>
    <col min="6915" max="6915" width="8.453125" style="32" customWidth="1"/>
    <col min="6916" max="6916" width="16.453125" style="32" customWidth="1"/>
    <col min="6917" max="6917" width="7.1796875" style="32" customWidth="1"/>
    <col min="6918" max="6918" width="6.7265625" style="32" customWidth="1"/>
    <col min="6919" max="6919" width="25.1796875" style="32" customWidth="1"/>
    <col min="6920" max="6920" width="2.1796875" style="32" customWidth="1"/>
    <col min="6921" max="6921" width="29.81640625" style="32" customWidth="1"/>
    <col min="6922" max="6922" width="30.453125" style="32" customWidth="1"/>
    <col min="6923" max="7168" width="12.54296875" style="32"/>
    <col min="7169" max="7169" width="51.1796875" style="32" customWidth="1"/>
    <col min="7170" max="7170" width="26.7265625" style="32" customWidth="1"/>
    <col min="7171" max="7171" width="8.453125" style="32" customWidth="1"/>
    <col min="7172" max="7172" width="16.453125" style="32" customWidth="1"/>
    <col min="7173" max="7173" width="7.1796875" style="32" customWidth="1"/>
    <col min="7174" max="7174" width="6.7265625" style="32" customWidth="1"/>
    <col min="7175" max="7175" width="25.1796875" style="32" customWidth="1"/>
    <col min="7176" max="7176" width="2.1796875" style="32" customWidth="1"/>
    <col min="7177" max="7177" width="29.81640625" style="32" customWidth="1"/>
    <col min="7178" max="7178" width="30.453125" style="32" customWidth="1"/>
    <col min="7179" max="7424" width="12.54296875" style="32"/>
    <col min="7425" max="7425" width="51.1796875" style="32" customWidth="1"/>
    <col min="7426" max="7426" width="26.7265625" style="32" customWidth="1"/>
    <col min="7427" max="7427" width="8.453125" style="32" customWidth="1"/>
    <col min="7428" max="7428" width="16.453125" style="32" customWidth="1"/>
    <col min="7429" max="7429" width="7.1796875" style="32" customWidth="1"/>
    <col min="7430" max="7430" width="6.7265625" style="32" customWidth="1"/>
    <col min="7431" max="7431" width="25.1796875" style="32" customWidth="1"/>
    <col min="7432" max="7432" width="2.1796875" style="32" customWidth="1"/>
    <col min="7433" max="7433" width="29.81640625" style="32" customWidth="1"/>
    <col min="7434" max="7434" width="30.453125" style="32" customWidth="1"/>
    <col min="7435" max="7680" width="12.54296875" style="32"/>
    <col min="7681" max="7681" width="51.1796875" style="32" customWidth="1"/>
    <col min="7682" max="7682" width="26.7265625" style="32" customWidth="1"/>
    <col min="7683" max="7683" width="8.453125" style="32" customWidth="1"/>
    <col min="7684" max="7684" width="16.453125" style="32" customWidth="1"/>
    <col min="7685" max="7685" width="7.1796875" style="32" customWidth="1"/>
    <col min="7686" max="7686" width="6.7265625" style="32" customWidth="1"/>
    <col min="7687" max="7687" width="25.1796875" style="32" customWidth="1"/>
    <col min="7688" max="7688" width="2.1796875" style="32" customWidth="1"/>
    <col min="7689" max="7689" width="29.81640625" style="32" customWidth="1"/>
    <col min="7690" max="7690" width="30.453125" style="32" customWidth="1"/>
    <col min="7691" max="7936" width="12.54296875" style="32"/>
    <col min="7937" max="7937" width="51.1796875" style="32" customWidth="1"/>
    <col min="7938" max="7938" width="26.7265625" style="32" customWidth="1"/>
    <col min="7939" max="7939" width="8.453125" style="32" customWidth="1"/>
    <col min="7940" max="7940" width="16.453125" style="32" customWidth="1"/>
    <col min="7941" max="7941" width="7.1796875" style="32" customWidth="1"/>
    <col min="7942" max="7942" width="6.7265625" style="32" customWidth="1"/>
    <col min="7943" max="7943" width="25.1796875" style="32" customWidth="1"/>
    <col min="7944" max="7944" width="2.1796875" style="32" customWidth="1"/>
    <col min="7945" max="7945" width="29.81640625" style="32" customWidth="1"/>
    <col min="7946" max="7946" width="30.453125" style="32" customWidth="1"/>
    <col min="7947" max="8192" width="12.54296875" style="32"/>
    <col min="8193" max="8193" width="51.1796875" style="32" customWidth="1"/>
    <col min="8194" max="8194" width="26.7265625" style="32" customWidth="1"/>
    <col min="8195" max="8195" width="8.453125" style="32" customWidth="1"/>
    <col min="8196" max="8196" width="16.453125" style="32" customWidth="1"/>
    <col min="8197" max="8197" width="7.1796875" style="32" customWidth="1"/>
    <col min="8198" max="8198" width="6.7265625" style="32" customWidth="1"/>
    <col min="8199" max="8199" width="25.1796875" style="32" customWidth="1"/>
    <col min="8200" max="8200" width="2.1796875" style="32" customWidth="1"/>
    <col min="8201" max="8201" width="29.81640625" style="32" customWidth="1"/>
    <col min="8202" max="8202" width="30.453125" style="32" customWidth="1"/>
    <col min="8203" max="8448" width="12.54296875" style="32"/>
    <col min="8449" max="8449" width="51.1796875" style="32" customWidth="1"/>
    <col min="8450" max="8450" width="26.7265625" style="32" customWidth="1"/>
    <col min="8451" max="8451" width="8.453125" style="32" customWidth="1"/>
    <col min="8452" max="8452" width="16.453125" style="32" customWidth="1"/>
    <col min="8453" max="8453" width="7.1796875" style="32" customWidth="1"/>
    <col min="8454" max="8454" width="6.7265625" style="32" customWidth="1"/>
    <col min="8455" max="8455" width="25.1796875" style="32" customWidth="1"/>
    <col min="8456" max="8456" width="2.1796875" style="32" customWidth="1"/>
    <col min="8457" max="8457" width="29.81640625" style="32" customWidth="1"/>
    <col min="8458" max="8458" width="30.453125" style="32" customWidth="1"/>
    <col min="8459" max="8704" width="12.54296875" style="32"/>
    <col min="8705" max="8705" width="51.1796875" style="32" customWidth="1"/>
    <col min="8706" max="8706" width="26.7265625" style="32" customWidth="1"/>
    <col min="8707" max="8707" width="8.453125" style="32" customWidth="1"/>
    <col min="8708" max="8708" width="16.453125" style="32" customWidth="1"/>
    <col min="8709" max="8709" width="7.1796875" style="32" customWidth="1"/>
    <col min="8710" max="8710" width="6.7265625" style="32" customWidth="1"/>
    <col min="8711" max="8711" width="25.1796875" style="32" customWidth="1"/>
    <col min="8712" max="8712" width="2.1796875" style="32" customWidth="1"/>
    <col min="8713" max="8713" width="29.81640625" style="32" customWidth="1"/>
    <col min="8714" max="8714" width="30.453125" style="32" customWidth="1"/>
    <col min="8715" max="8960" width="12.54296875" style="32"/>
    <col min="8961" max="8961" width="51.1796875" style="32" customWidth="1"/>
    <col min="8962" max="8962" width="26.7265625" style="32" customWidth="1"/>
    <col min="8963" max="8963" width="8.453125" style="32" customWidth="1"/>
    <col min="8964" max="8964" width="16.453125" style="32" customWidth="1"/>
    <col min="8965" max="8965" width="7.1796875" style="32" customWidth="1"/>
    <col min="8966" max="8966" width="6.7265625" style="32" customWidth="1"/>
    <col min="8967" max="8967" width="25.1796875" style="32" customWidth="1"/>
    <col min="8968" max="8968" width="2.1796875" style="32" customWidth="1"/>
    <col min="8969" max="8969" width="29.81640625" style="32" customWidth="1"/>
    <col min="8970" max="8970" width="30.453125" style="32" customWidth="1"/>
    <col min="8971" max="9216" width="12.54296875" style="32"/>
    <col min="9217" max="9217" width="51.1796875" style="32" customWidth="1"/>
    <col min="9218" max="9218" width="26.7265625" style="32" customWidth="1"/>
    <col min="9219" max="9219" width="8.453125" style="32" customWidth="1"/>
    <col min="9220" max="9220" width="16.453125" style="32" customWidth="1"/>
    <col min="9221" max="9221" width="7.1796875" style="32" customWidth="1"/>
    <col min="9222" max="9222" width="6.7265625" style="32" customWidth="1"/>
    <col min="9223" max="9223" width="25.1796875" style="32" customWidth="1"/>
    <col min="9224" max="9224" width="2.1796875" style="32" customWidth="1"/>
    <col min="9225" max="9225" width="29.81640625" style="32" customWidth="1"/>
    <col min="9226" max="9226" width="30.453125" style="32" customWidth="1"/>
    <col min="9227" max="9472" width="12.54296875" style="32"/>
    <col min="9473" max="9473" width="51.1796875" style="32" customWidth="1"/>
    <col min="9474" max="9474" width="26.7265625" style="32" customWidth="1"/>
    <col min="9475" max="9475" width="8.453125" style="32" customWidth="1"/>
    <col min="9476" max="9476" width="16.453125" style="32" customWidth="1"/>
    <col min="9477" max="9477" width="7.1796875" style="32" customWidth="1"/>
    <col min="9478" max="9478" width="6.7265625" style="32" customWidth="1"/>
    <col min="9479" max="9479" width="25.1796875" style="32" customWidth="1"/>
    <col min="9480" max="9480" width="2.1796875" style="32" customWidth="1"/>
    <col min="9481" max="9481" width="29.81640625" style="32" customWidth="1"/>
    <col min="9482" max="9482" width="30.453125" style="32" customWidth="1"/>
    <col min="9483" max="9728" width="12.54296875" style="32"/>
    <col min="9729" max="9729" width="51.1796875" style="32" customWidth="1"/>
    <col min="9730" max="9730" width="26.7265625" style="32" customWidth="1"/>
    <col min="9731" max="9731" width="8.453125" style="32" customWidth="1"/>
    <col min="9732" max="9732" width="16.453125" style="32" customWidth="1"/>
    <col min="9733" max="9733" width="7.1796875" style="32" customWidth="1"/>
    <col min="9734" max="9734" width="6.7265625" style="32" customWidth="1"/>
    <col min="9735" max="9735" width="25.1796875" style="32" customWidth="1"/>
    <col min="9736" max="9736" width="2.1796875" style="32" customWidth="1"/>
    <col min="9737" max="9737" width="29.81640625" style="32" customWidth="1"/>
    <col min="9738" max="9738" width="30.453125" style="32" customWidth="1"/>
    <col min="9739" max="9984" width="12.54296875" style="32"/>
    <col min="9985" max="9985" width="51.1796875" style="32" customWidth="1"/>
    <col min="9986" max="9986" width="26.7265625" style="32" customWidth="1"/>
    <col min="9987" max="9987" width="8.453125" style="32" customWidth="1"/>
    <col min="9988" max="9988" width="16.453125" style="32" customWidth="1"/>
    <col min="9989" max="9989" width="7.1796875" style="32" customWidth="1"/>
    <col min="9990" max="9990" width="6.7265625" style="32" customWidth="1"/>
    <col min="9991" max="9991" width="25.1796875" style="32" customWidth="1"/>
    <col min="9992" max="9992" width="2.1796875" style="32" customWidth="1"/>
    <col min="9993" max="9993" width="29.81640625" style="32" customWidth="1"/>
    <col min="9994" max="9994" width="30.453125" style="32" customWidth="1"/>
    <col min="9995" max="10240" width="12.54296875" style="32"/>
    <col min="10241" max="10241" width="51.1796875" style="32" customWidth="1"/>
    <col min="10242" max="10242" width="26.7265625" style="32" customWidth="1"/>
    <col min="10243" max="10243" width="8.453125" style="32" customWidth="1"/>
    <col min="10244" max="10244" width="16.453125" style="32" customWidth="1"/>
    <col min="10245" max="10245" width="7.1796875" style="32" customWidth="1"/>
    <col min="10246" max="10246" width="6.7265625" style="32" customWidth="1"/>
    <col min="10247" max="10247" width="25.1796875" style="32" customWidth="1"/>
    <col min="10248" max="10248" width="2.1796875" style="32" customWidth="1"/>
    <col min="10249" max="10249" width="29.81640625" style="32" customWidth="1"/>
    <col min="10250" max="10250" width="30.453125" style="32" customWidth="1"/>
    <col min="10251" max="10496" width="12.54296875" style="32"/>
    <col min="10497" max="10497" width="51.1796875" style="32" customWidth="1"/>
    <col min="10498" max="10498" width="26.7265625" style="32" customWidth="1"/>
    <col min="10499" max="10499" width="8.453125" style="32" customWidth="1"/>
    <col min="10500" max="10500" width="16.453125" style="32" customWidth="1"/>
    <col min="10501" max="10501" width="7.1796875" style="32" customWidth="1"/>
    <col min="10502" max="10502" width="6.7265625" style="32" customWidth="1"/>
    <col min="10503" max="10503" width="25.1796875" style="32" customWidth="1"/>
    <col min="10504" max="10504" width="2.1796875" style="32" customWidth="1"/>
    <col min="10505" max="10505" width="29.81640625" style="32" customWidth="1"/>
    <col min="10506" max="10506" width="30.453125" style="32" customWidth="1"/>
    <col min="10507" max="10752" width="12.54296875" style="32"/>
    <col min="10753" max="10753" width="51.1796875" style="32" customWidth="1"/>
    <col min="10754" max="10754" width="26.7265625" style="32" customWidth="1"/>
    <col min="10755" max="10755" width="8.453125" style="32" customWidth="1"/>
    <col min="10756" max="10756" width="16.453125" style="32" customWidth="1"/>
    <col min="10757" max="10757" width="7.1796875" style="32" customWidth="1"/>
    <col min="10758" max="10758" width="6.7265625" style="32" customWidth="1"/>
    <col min="10759" max="10759" width="25.1796875" style="32" customWidth="1"/>
    <col min="10760" max="10760" width="2.1796875" style="32" customWidth="1"/>
    <col min="10761" max="10761" width="29.81640625" style="32" customWidth="1"/>
    <col min="10762" max="10762" width="30.453125" style="32" customWidth="1"/>
    <col min="10763" max="11008" width="12.54296875" style="32"/>
    <col min="11009" max="11009" width="51.1796875" style="32" customWidth="1"/>
    <col min="11010" max="11010" width="26.7265625" style="32" customWidth="1"/>
    <col min="11011" max="11011" width="8.453125" style="32" customWidth="1"/>
    <col min="11012" max="11012" width="16.453125" style="32" customWidth="1"/>
    <col min="11013" max="11013" width="7.1796875" style="32" customWidth="1"/>
    <col min="11014" max="11014" width="6.7265625" style="32" customWidth="1"/>
    <col min="11015" max="11015" width="25.1796875" style="32" customWidth="1"/>
    <col min="11016" max="11016" width="2.1796875" style="32" customWidth="1"/>
    <col min="11017" max="11017" width="29.81640625" style="32" customWidth="1"/>
    <col min="11018" max="11018" width="30.453125" style="32" customWidth="1"/>
    <col min="11019" max="11264" width="12.54296875" style="32"/>
    <col min="11265" max="11265" width="51.1796875" style="32" customWidth="1"/>
    <col min="11266" max="11266" width="26.7265625" style="32" customWidth="1"/>
    <col min="11267" max="11267" width="8.453125" style="32" customWidth="1"/>
    <col min="11268" max="11268" width="16.453125" style="32" customWidth="1"/>
    <col min="11269" max="11269" width="7.1796875" style="32" customWidth="1"/>
    <col min="11270" max="11270" width="6.7265625" style="32" customWidth="1"/>
    <col min="11271" max="11271" width="25.1796875" style="32" customWidth="1"/>
    <col min="11272" max="11272" width="2.1796875" style="32" customWidth="1"/>
    <col min="11273" max="11273" width="29.81640625" style="32" customWidth="1"/>
    <col min="11274" max="11274" width="30.453125" style="32" customWidth="1"/>
    <col min="11275" max="11520" width="12.54296875" style="32"/>
    <col min="11521" max="11521" width="51.1796875" style="32" customWidth="1"/>
    <col min="11522" max="11522" width="26.7265625" style="32" customWidth="1"/>
    <col min="11523" max="11523" width="8.453125" style="32" customWidth="1"/>
    <col min="11524" max="11524" width="16.453125" style="32" customWidth="1"/>
    <col min="11525" max="11525" width="7.1796875" style="32" customWidth="1"/>
    <col min="11526" max="11526" width="6.7265625" style="32" customWidth="1"/>
    <col min="11527" max="11527" width="25.1796875" style="32" customWidth="1"/>
    <col min="11528" max="11528" width="2.1796875" style="32" customWidth="1"/>
    <col min="11529" max="11529" width="29.81640625" style="32" customWidth="1"/>
    <col min="11530" max="11530" width="30.453125" style="32" customWidth="1"/>
    <col min="11531" max="11776" width="12.54296875" style="32"/>
    <col min="11777" max="11777" width="51.1796875" style="32" customWidth="1"/>
    <col min="11778" max="11778" width="26.7265625" style="32" customWidth="1"/>
    <col min="11779" max="11779" width="8.453125" style="32" customWidth="1"/>
    <col min="11780" max="11780" width="16.453125" style="32" customWidth="1"/>
    <col min="11781" max="11781" width="7.1796875" style="32" customWidth="1"/>
    <col min="11782" max="11782" width="6.7265625" style="32" customWidth="1"/>
    <col min="11783" max="11783" width="25.1796875" style="32" customWidth="1"/>
    <col min="11784" max="11784" width="2.1796875" style="32" customWidth="1"/>
    <col min="11785" max="11785" width="29.81640625" style="32" customWidth="1"/>
    <col min="11786" max="11786" width="30.453125" style="32" customWidth="1"/>
    <col min="11787" max="12032" width="12.54296875" style="32"/>
    <col min="12033" max="12033" width="51.1796875" style="32" customWidth="1"/>
    <col min="12034" max="12034" width="26.7265625" style="32" customWidth="1"/>
    <col min="12035" max="12035" width="8.453125" style="32" customWidth="1"/>
    <col min="12036" max="12036" width="16.453125" style="32" customWidth="1"/>
    <col min="12037" max="12037" width="7.1796875" style="32" customWidth="1"/>
    <col min="12038" max="12038" width="6.7265625" style="32" customWidth="1"/>
    <col min="12039" max="12039" width="25.1796875" style="32" customWidth="1"/>
    <col min="12040" max="12040" width="2.1796875" style="32" customWidth="1"/>
    <col min="12041" max="12041" width="29.81640625" style="32" customWidth="1"/>
    <col min="12042" max="12042" width="30.453125" style="32" customWidth="1"/>
    <col min="12043" max="12288" width="12.54296875" style="32"/>
    <col min="12289" max="12289" width="51.1796875" style="32" customWidth="1"/>
    <col min="12290" max="12290" width="26.7265625" style="32" customWidth="1"/>
    <col min="12291" max="12291" width="8.453125" style="32" customWidth="1"/>
    <col min="12292" max="12292" width="16.453125" style="32" customWidth="1"/>
    <col min="12293" max="12293" width="7.1796875" style="32" customWidth="1"/>
    <col min="12294" max="12294" width="6.7265625" style="32" customWidth="1"/>
    <col min="12295" max="12295" width="25.1796875" style="32" customWidth="1"/>
    <col min="12296" max="12296" width="2.1796875" style="32" customWidth="1"/>
    <col min="12297" max="12297" width="29.81640625" style="32" customWidth="1"/>
    <col min="12298" max="12298" width="30.453125" style="32" customWidth="1"/>
    <col min="12299" max="12544" width="12.54296875" style="32"/>
    <col min="12545" max="12545" width="51.1796875" style="32" customWidth="1"/>
    <col min="12546" max="12546" width="26.7265625" style="32" customWidth="1"/>
    <col min="12547" max="12547" width="8.453125" style="32" customWidth="1"/>
    <col min="12548" max="12548" width="16.453125" style="32" customWidth="1"/>
    <col min="12549" max="12549" width="7.1796875" style="32" customWidth="1"/>
    <col min="12550" max="12550" width="6.7265625" style="32" customWidth="1"/>
    <col min="12551" max="12551" width="25.1796875" style="32" customWidth="1"/>
    <col min="12552" max="12552" width="2.1796875" style="32" customWidth="1"/>
    <col min="12553" max="12553" width="29.81640625" style="32" customWidth="1"/>
    <col min="12554" max="12554" width="30.453125" style="32" customWidth="1"/>
    <col min="12555" max="12800" width="12.54296875" style="32"/>
    <col min="12801" max="12801" width="51.1796875" style="32" customWidth="1"/>
    <col min="12802" max="12802" width="26.7265625" style="32" customWidth="1"/>
    <col min="12803" max="12803" width="8.453125" style="32" customWidth="1"/>
    <col min="12804" max="12804" width="16.453125" style="32" customWidth="1"/>
    <col min="12805" max="12805" width="7.1796875" style="32" customWidth="1"/>
    <col min="12806" max="12806" width="6.7265625" style="32" customWidth="1"/>
    <col min="12807" max="12807" width="25.1796875" style="32" customWidth="1"/>
    <col min="12808" max="12808" width="2.1796875" style="32" customWidth="1"/>
    <col min="12809" max="12809" width="29.81640625" style="32" customWidth="1"/>
    <col min="12810" max="12810" width="30.453125" style="32" customWidth="1"/>
    <col min="12811" max="13056" width="12.54296875" style="32"/>
    <col min="13057" max="13057" width="51.1796875" style="32" customWidth="1"/>
    <col min="13058" max="13058" width="26.7265625" style="32" customWidth="1"/>
    <col min="13059" max="13059" width="8.453125" style="32" customWidth="1"/>
    <col min="13060" max="13060" width="16.453125" style="32" customWidth="1"/>
    <col min="13061" max="13061" width="7.1796875" style="32" customWidth="1"/>
    <col min="13062" max="13062" width="6.7265625" style="32" customWidth="1"/>
    <col min="13063" max="13063" width="25.1796875" style="32" customWidth="1"/>
    <col min="13064" max="13064" width="2.1796875" style="32" customWidth="1"/>
    <col min="13065" max="13065" width="29.81640625" style="32" customWidth="1"/>
    <col min="13066" max="13066" width="30.453125" style="32" customWidth="1"/>
    <col min="13067" max="13312" width="12.54296875" style="32"/>
    <col min="13313" max="13313" width="51.1796875" style="32" customWidth="1"/>
    <col min="13314" max="13314" width="26.7265625" style="32" customWidth="1"/>
    <col min="13315" max="13315" width="8.453125" style="32" customWidth="1"/>
    <col min="13316" max="13316" width="16.453125" style="32" customWidth="1"/>
    <col min="13317" max="13317" width="7.1796875" style="32" customWidth="1"/>
    <col min="13318" max="13318" width="6.7265625" style="32" customWidth="1"/>
    <col min="13319" max="13319" width="25.1796875" style="32" customWidth="1"/>
    <col min="13320" max="13320" width="2.1796875" style="32" customWidth="1"/>
    <col min="13321" max="13321" width="29.81640625" style="32" customWidth="1"/>
    <col min="13322" max="13322" width="30.453125" style="32" customWidth="1"/>
    <col min="13323" max="13568" width="12.54296875" style="32"/>
    <col min="13569" max="13569" width="51.1796875" style="32" customWidth="1"/>
    <col min="13570" max="13570" width="26.7265625" style="32" customWidth="1"/>
    <col min="13571" max="13571" width="8.453125" style="32" customWidth="1"/>
    <col min="13572" max="13572" width="16.453125" style="32" customWidth="1"/>
    <col min="13573" max="13573" width="7.1796875" style="32" customWidth="1"/>
    <col min="13574" max="13574" width="6.7265625" style="32" customWidth="1"/>
    <col min="13575" max="13575" width="25.1796875" style="32" customWidth="1"/>
    <col min="13576" max="13576" width="2.1796875" style="32" customWidth="1"/>
    <col min="13577" max="13577" width="29.81640625" style="32" customWidth="1"/>
    <col min="13578" max="13578" width="30.453125" style="32" customWidth="1"/>
    <col min="13579" max="13824" width="12.54296875" style="32"/>
    <col min="13825" max="13825" width="51.1796875" style="32" customWidth="1"/>
    <col min="13826" max="13826" width="26.7265625" style="32" customWidth="1"/>
    <col min="13827" max="13827" width="8.453125" style="32" customWidth="1"/>
    <col min="13828" max="13828" width="16.453125" style="32" customWidth="1"/>
    <col min="13829" max="13829" width="7.1796875" style="32" customWidth="1"/>
    <col min="13830" max="13830" width="6.7265625" style="32" customWidth="1"/>
    <col min="13831" max="13831" width="25.1796875" style="32" customWidth="1"/>
    <col min="13832" max="13832" width="2.1796875" style="32" customWidth="1"/>
    <col min="13833" max="13833" width="29.81640625" style="32" customWidth="1"/>
    <col min="13834" max="13834" width="30.453125" style="32" customWidth="1"/>
    <col min="13835" max="14080" width="12.54296875" style="32"/>
    <col min="14081" max="14081" width="51.1796875" style="32" customWidth="1"/>
    <col min="14082" max="14082" width="26.7265625" style="32" customWidth="1"/>
    <col min="14083" max="14083" width="8.453125" style="32" customWidth="1"/>
    <col min="14084" max="14084" width="16.453125" style="32" customWidth="1"/>
    <col min="14085" max="14085" width="7.1796875" style="32" customWidth="1"/>
    <col min="14086" max="14086" width="6.7265625" style="32" customWidth="1"/>
    <col min="14087" max="14087" width="25.1796875" style="32" customWidth="1"/>
    <col min="14088" max="14088" width="2.1796875" style="32" customWidth="1"/>
    <col min="14089" max="14089" width="29.81640625" style="32" customWidth="1"/>
    <col min="14090" max="14090" width="30.453125" style="32" customWidth="1"/>
    <col min="14091" max="14336" width="12.54296875" style="32"/>
    <col min="14337" max="14337" width="51.1796875" style="32" customWidth="1"/>
    <col min="14338" max="14338" width="26.7265625" style="32" customWidth="1"/>
    <col min="14339" max="14339" width="8.453125" style="32" customWidth="1"/>
    <col min="14340" max="14340" width="16.453125" style="32" customWidth="1"/>
    <col min="14341" max="14341" width="7.1796875" style="32" customWidth="1"/>
    <col min="14342" max="14342" width="6.7265625" style="32" customWidth="1"/>
    <col min="14343" max="14343" width="25.1796875" style="32" customWidth="1"/>
    <col min="14344" max="14344" width="2.1796875" style="32" customWidth="1"/>
    <col min="14345" max="14345" width="29.81640625" style="32" customWidth="1"/>
    <col min="14346" max="14346" width="30.453125" style="32" customWidth="1"/>
    <col min="14347" max="14592" width="12.54296875" style="32"/>
    <col min="14593" max="14593" width="51.1796875" style="32" customWidth="1"/>
    <col min="14594" max="14594" width="26.7265625" style="32" customWidth="1"/>
    <col min="14595" max="14595" width="8.453125" style="32" customWidth="1"/>
    <col min="14596" max="14596" width="16.453125" style="32" customWidth="1"/>
    <col min="14597" max="14597" width="7.1796875" style="32" customWidth="1"/>
    <col min="14598" max="14598" width="6.7265625" style="32" customWidth="1"/>
    <col min="14599" max="14599" width="25.1796875" style="32" customWidth="1"/>
    <col min="14600" max="14600" width="2.1796875" style="32" customWidth="1"/>
    <col min="14601" max="14601" width="29.81640625" style="32" customWidth="1"/>
    <col min="14602" max="14602" width="30.453125" style="32" customWidth="1"/>
    <col min="14603" max="14848" width="12.54296875" style="32"/>
    <col min="14849" max="14849" width="51.1796875" style="32" customWidth="1"/>
    <col min="14850" max="14850" width="26.7265625" style="32" customWidth="1"/>
    <col min="14851" max="14851" width="8.453125" style="32" customWidth="1"/>
    <col min="14852" max="14852" width="16.453125" style="32" customWidth="1"/>
    <col min="14853" max="14853" width="7.1796875" style="32" customWidth="1"/>
    <col min="14854" max="14854" width="6.7265625" style="32" customWidth="1"/>
    <col min="14855" max="14855" width="25.1796875" style="32" customWidth="1"/>
    <col min="14856" max="14856" width="2.1796875" style="32" customWidth="1"/>
    <col min="14857" max="14857" width="29.81640625" style="32" customWidth="1"/>
    <col min="14858" max="14858" width="30.453125" style="32" customWidth="1"/>
    <col min="14859" max="15104" width="12.54296875" style="32"/>
    <col min="15105" max="15105" width="51.1796875" style="32" customWidth="1"/>
    <col min="15106" max="15106" width="26.7265625" style="32" customWidth="1"/>
    <col min="15107" max="15107" width="8.453125" style="32" customWidth="1"/>
    <col min="15108" max="15108" width="16.453125" style="32" customWidth="1"/>
    <col min="15109" max="15109" width="7.1796875" style="32" customWidth="1"/>
    <col min="15110" max="15110" width="6.7265625" style="32" customWidth="1"/>
    <col min="15111" max="15111" width="25.1796875" style="32" customWidth="1"/>
    <col min="15112" max="15112" width="2.1796875" style="32" customWidth="1"/>
    <col min="15113" max="15113" width="29.81640625" style="32" customWidth="1"/>
    <col min="15114" max="15114" width="30.453125" style="32" customWidth="1"/>
    <col min="15115" max="15360" width="12.54296875" style="32"/>
    <col min="15361" max="15361" width="51.1796875" style="32" customWidth="1"/>
    <col min="15362" max="15362" width="26.7265625" style="32" customWidth="1"/>
    <col min="15363" max="15363" width="8.453125" style="32" customWidth="1"/>
    <col min="15364" max="15364" width="16.453125" style="32" customWidth="1"/>
    <col min="15365" max="15365" width="7.1796875" style="32" customWidth="1"/>
    <col min="15366" max="15366" width="6.7265625" style="32" customWidth="1"/>
    <col min="15367" max="15367" width="25.1796875" style="32" customWidth="1"/>
    <col min="15368" max="15368" width="2.1796875" style="32" customWidth="1"/>
    <col min="15369" max="15369" width="29.81640625" style="32" customWidth="1"/>
    <col min="15370" max="15370" width="30.453125" style="32" customWidth="1"/>
    <col min="15371" max="15616" width="12.54296875" style="32"/>
    <col min="15617" max="15617" width="51.1796875" style="32" customWidth="1"/>
    <col min="15618" max="15618" width="26.7265625" style="32" customWidth="1"/>
    <col min="15619" max="15619" width="8.453125" style="32" customWidth="1"/>
    <col min="15620" max="15620" width="16.453125" style="32" customWidth="1"/>
    <col min="15621" max="15621" width="7.1796875" style="32" customWidth="1"/>
    <col min="15622" max="15622" width="6.7265625" style="32" customWidth="1"/>
    <col min="15623" max="15623" width="25.1796875" style="32" customWidth="1"/>
    <col min="15624" max="15624" width="2.1796875" style="32" customWidth="1"/>
    <col min="15625" max="15625" width="29.81640625" style="32" customWidth="1"/>
    <col min="15626" max="15626" width="30.453125" style="32" customWidth="1"/>
    <col min="15627" max="15872" width="12.54296875" style="32"/>
    <col min="15873" max="15873" width="51.1796875" style="32" customWidth="1"/>
    <col min="15874" max="15874" width="26.7265625" style="32" customWidth="1"/>
    <col min="15875" max="15875" width="8.453125" style="32" customWidth="1"/>
    <col min="15876" max="15876" width="16.453125" style="32" customWidth="1"/>
    <col min="15877" max="15877" width="7.1796875" style="32" customWidth="1"/>
    <col min="15878" max="15878" width="6.7265625" style="32" customWidth="1"/>
    <col min="15879" max="15879" width="25.1796875" style="32" customWidth="1"/>
    <col min="15880" max="15880" width="2.1796875" style="32" customWidth="1"/>
    <col min="15881" max="15881" width="29.81640625" style="32" customWidth="1"/>
    <col min="15882" max="15882" width="30.453125" style="32" customWidth="1"/>
    <col min="15883" max="16128" width="12.54296875" style="32"/>
    <col min="16129" max="16129" width="51.1796875" style="32" customWidth="1"/>
    <col min="16130" max="16130" width="26.7265625" style="32" customWidth="1"/>
    <col min="16131" max="16131" width="8.453125" style="32" customWidth="1"/>
    <col min="16132" max="16132" width="16.453125" style="32" customWidth="1"/>
    <col min="16133" max="16133" width="7.1796875" style="32" customWidth="1"/>
    <col min="16134" max="16134" width="6.7265625" style="32" customWidth="1"/>
    <col min="16135" max="16135" width="25.1796875" style="32" customWidth="1"/>
    <col min="16136" max="16136" width="2.1796875" style="32" customWidth="1"/>
    <col min="16137" max="16137" width="29.81640625" style="32" customWidth="1"/>
    <col min="16138" max="16138" width="30.453125" style="32" customWidth="1"/>
    <col min="16139" max="16384" width="12.54296875" style="32"/>
  </cols>
  <sheetData>
    <row r="2" spans="1:11" ht="18" x14ac:dyDescent="0.4">
      <c r="J2" s="5" t="s">
        <v>25</v>
      </c>
    </row>
    <row r="4" spans="1:11" ht="18" x14ac:dyDescent="0.4">
      <c r="E4" s="1"/>
      <c r="F4" s="33" t="s">
        <v>0</v>
      </c>
      <c r="G4" s="1"/>
      <c r="H4" s="1"/>
      <c r="I4" s="1"/>
      <c r="J4" s="1"/>
    </row>
    <row r="5" spans="1:11" ht="18" x14ac:dyDescent="0.4">
      <c r="A5" s="1"/>
      <c r="B5" s="1"/>
      <c r="E5" s="1"/>
      <c r="F5" s="33" t="s">
        <v>26</v>
      </c>
      <c r="G5" s="1"/>
      <c r="H5" s="1"/>
      <c r="I5" s="1"/>
      <c r="J5" s="1"/>
    </row>
    <row r="6" spans="1:11" ht="18" x14ac:dyDescent="0.4">
      <c r="A6" s="1"/>
      <c r="B6" s="1"/>
      <c r="E6" s="1"/>
      <c r="F6" s="34" t="s">
        <v>27</v>
      </c>
      <c r="G6" s="1"/>
      <c r="H6" s="1"/>
      <c r="I6" s="1"/>
      <c r="J6" s="1"/>
    </row>
    <row r="7" spans="1:11" ht="17.5" x14ac:dyDescent="0.35">
      <c r="A7" s="1"/>
      <c r="B7" s="1"/>
      <c r="C7" s="1"/>
      <c r="E7" s="1"/>
      <c r="F7" s="1"/>
      <c r="G7" s="1"/>
      <c r="H7" s="1"/>
      <c r="I7" s="1"/>
      <c r="J7" s="1"/>
    </row>
    <row r="8" spans="1:11" ht="17.5" x14ac:dyDescent="0.3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1" ht="18" x14ac:dyDescent="0.4">
      <c r="A9" s="1"/>
      <c r="B9" s="4" t="s">
        <v>28</v>
      </c>
      <c r="C9" s="35"/>
      <c r="E9" s="35"/>
      <c r="F9" s="35"/>
      <c r="G9" s="35"/>
      <c r="H9" s="35"/>
      <c r="I9" s="35"/>
      <c r="J9" s="36" t="s">
        <v>29</v>
      </c>
    </row>
    <row r="10" spans="1:11" ht="18" x14ac:dyDescent="0.4">
      <c r="A10" s="1"/>
      <c r="B10" s="33" t="s">
        <v>30</v>
      </c>
      <c r="C10" s="35"/>
      <c r="D10" s="33" t="s">
        <v>28</v>
      </c>
      <c r="E10" s="35"/>
      <c r="F10" s="35"/>
      <c r="G10" s="36" t="s">
        <v>29</v>
      </c>
      <c r="H10" s="35"/>
      <c r="I10" s="37" t="s">
        <v>21</v>
      </c>
      <c r="J10" s="37" t="s">
        <v>31</v>
      </c>
    </row>
    <row r="11" spans="1:11" ht="18" x14ac:dyDescent="0.4">
      <c r="A11" s="1"/>
      <c r="B11" s="4" t="s">
        <v>32</v>
      </c>
      <c r="C11" s="35"/>
      <c r="D11" s="33" t="s">
        <v>33</v>
      </c>
      <c r="E11" s="35"/>
      <c r="F11" s="35"/>
      <c r="G11" s="4" t="s">
        <v>34</v>
      </c>
      <c r="H11" s="35"/>
      <c r="I11" s="37" t="s">
        <v>35</v>
      </c>
      <c r="J11" s="4" t="s">
        <v>36</v>
      </c>
    </row>
    <row r="12" spans="1:11" ht="18" x14ac:dyDescent="0.4">
      <c r="B12" s="38" t="s">
        <v>37</v>
      </c>
      <c r="C12" s="35"/>
      <c r="D12" s="34" t="s">
        <v>38</v>
      </c>
      <c r="E12" s="35"/>
      <c r="F12" s="35"/>
      <c r="G12" s="39" t="s">
        <v>30</v>
      </c>
      <c r="H12" s="35"/>
      <c r="I12" s="40" t="s">
        <v>32</v>
      </c>
      <c r="J12" s="6" t="s">
        <v>30</v>
      </c>
    </row>
    <row r="13" spans="1:11" ht="17.5" x14ac:dyDescent="0.35">
      <c r="B13" s="22"/>
      <c r="C13" s="1"/>
      <c r="D13" s="21"/>
      <c r="E13" s="1"/>
      <c r="F13" s="1"/>
      <c r="G13" s="3"/>
      <c r="H13" s="1"/>
      <c r="I13" s="41"/>
      <c r="J13" s="1"/>
    </row>
    <row r="14" spans="1:11" ht="18" x14ac:dyDescent="0.4">
      <c r="A14" s="42" t="s">
        <v>39</v>
      </c>
      <c r="B14" s="22"/>
      <c r="C14" s="1"/>
      <c r="D14" s="21"/>
      <c r="E14" s="1"/>
      <c r="F14" s="1"/>
      <c r="G14" s="3"/>
      <c r="H14" s="1"/>
      <c r="I14" s="41"/>
      <c r="J14" s="1"/>
    </row>
    <row r="15" spans="1:11" ht="17.5" x14ac:dyDescent="0.35">
      <c r="A15" s="18"/>
      <c r="B15" s="22"/>
      <c r="C15" s="1"/>
      <c r="D15" s="21"/>
      <c r="E15" s="1"/>
      <c r="F15" s="1"/>
      <c r="G15" s="3" t="s">
        <v>21</v>
      </c>
      <c r="H15" s="1"/>
      <c r="I15" s="41"/>
      <c r="J15" s="1"/>
    </row>
    <row r="16" spans="1:11" ht="18.5" thickBot="1" x14ac:dyDescent="0.45">
      <c r="A16" s="35" t="s">
        <v>40</v>
      </c>
      <c r="B16" s="43">
        <f>+'[1]WA BY MONTH'!C6</f>
        <v>535286344.43835163</v>
      </c>
      <c r="C16" s="1"/>
      <c r="D16" s="44">
        <v>5059392</v>
      </c>
      <c r="E16" s="1"/>
      <c r="F16" s="1"/>
      <c r="G16" s="45">
        <f>D16/B16</f>
        <v>9.4517486809953272E-3</v>
      </c>
      <c r="H16" s="1"/>
      <c r="I16" s="46" t="s">
        <v>21</v>
      </c>
      <c r="J16" s="47" t="s">
        <v>21</v>
      </c>
      <c r="K16" s="1"/>
    </row>
    <row r="17" spans="1:11" ht="18.5" thickTop="1" x14ac:dyDescent="0.4">
      <c r="A17" s="35"/>
      <c r="B17" s="19"/>
      <c r="C17" s="1"/>
      <c r="D17" s="21"/>
      <c r="E17" s="1"/>
      <c r="F17" s="1"/>
      <c r="G17" s="45"/>
      <c r="H17" s="1"/>
      <c r="I17" s="1"/>
      <c r="J17" s="47"/>
      <c r="K17" s="1"/>
    </row>
    <row r="18" spans="1:11" ht="18" x14ac:dyDescent="0.4">
      <c r="A18" s="35"/>
      <c r="B18" s="19"/>
      <c r="C18" s="1"/>
      <c r="D18" s="21"/>
      <c r="E18" s="1"/>
      <c r="F18" s="1"/>
      <c r="G18" s="45"/>
      <c r="H18" s="1"/>
      <c r="I18" s="1"/>
      <c r="J18" s="47"/>
      <c r="K18" s="1"/>
    </row>
    <row r="19" spans="1:11" ht="18" x14ac:dyDescent="0.4">
      <c r="A19" s="48" t="s">
        <v>41</v>
      </c>
      <c r="B19" s="21">
        <f>+'[1]WA BY MONTH'!C12</f>
        <v>326712524.29956043</v>
      </c>
      <c r="C19" s="1"/>
      <c r="D19" s="21">
        <f>1432108.82+683117.2+608175.18-567420.8+100180+268279</f>
        <v>2524439.4000000004</v>
      </c>
      <c r="E19" s="4"/>
      <c r="F19" s="1"/>
      <c r="G19" s="45">
        <f>D19/B19</f>
        <v>7.7267910234300038E-3</v>
      </c>
      <c r="H19" s="1"/>
      <c r="I19" s="49">
        <v>-700848.05</v>
      </c>
      <c r="J19" s="47">
        <f>SUM(((((D19+I19)*365)/91))/B19)/4</f>
        <v>5.5969731196148535E-3</v>
      </c>
      <c r="K19" s="1"/>
    </row>
    <row r="20" spans="1:11" ht="18" x14ac:dyDescent="0.4">
      <c r="A20" s="48" t="s">
        <v>42</v>
      </c>
      <c r="B20" s="50">
        <v>0</v>
      </c>
      <c r="C20" s="1"/>
      <c r="D20" s="50">
        <v>0</v>
      </c>
      <c r="E20" s="4"/>
      <c r="F20" s="1"/>
      <c r="G20" s="45">
        <v>0</v>
      </c>
      <c r="H20" s="1"/>
      <c r="I20" s="51">
        <v>0</v>
      </c>
      <c r="J20" s="47">
        <v>0</v>
      </c>
      <c r="K20" s="1"/>
    </row>
    <row r="21" spans="1:11" ht="17.5" x14ac:dyDescent="0.35">
      <c r="A21" s="1"/>
      <c r="B21" s="19"/>
      <c r="C21" s="1"/>
      <c r="D21" s="21" t="s">
        <v>21</v>
      </c>
      <c r="E21" s="1"/>
      <c r="F21" s="1"/>
      <c r="G21" s="52"/>
      <c r="H21" s="1"/>
      <c r="I21" s="19"/>
      <c r="J21" s="1"/>
    </row>
    <row r="22" spans="1:11" ht="18.5" thickBot="1" x14ac:dyDescent="0.45">
      <c r="A22" s="35" t="s">
        <v>43</v>
      </c>
      <c r="B22" s="43">
        <f>SUM(B19:B21)</f>
        <v>326712524.29956043</v>
      </c>
      <c r="C22" s="1"/>
      <c r="D22" s="43">
        <f>SUM(D19:D21)</f>
        <v>2524439.4000000004</v>
      </c>
      <c r="E22" s="1"/>
      <c r="F22" s="1"/>
      <c r="G22" s="45">
        <f>D22/B22</f>
        <v>7.7267910234300038E-3</v>
      </c>
      <c r="H22" s="1"/>
      <c r="I22" s="43">
        <f>SUM(I19:I21)</f>
        <v>-700848.05</v>
      </c>
      <c r="J22" s="47">
        <f>SUM(((((D22+I22)*365)/91))/B22)/4</f>
        <v>5.5969731196148535E-3</v>
      </c>
    </row>
    <row r="23" spans="1:11" ht="18" thickTop="1" x14ac:dyDescent="0.35">
      <c r="A23" s="1"/>
      <c r="B23" s="19"/>
      <c r="C23" s="1"/>
      <c r="D23" s="19"/>
      <c r="E23" s="1"/>
      <c r="F23" s="1"/>
      <c r="G23" s="45"/>
      <c r="H23" s="1"/>
      <c r="I23" s="19"/>
      <c r="J23" s="47"/>
    </row>
    <row r="24" spans="1:11" ht="17.5" x14ac:dyDescent="0.35">
      <c r="A24" s="1"/>
      <c r="B24" s="19"/>
      <c r="C24" s="1"/>
      <c r="D24" s="19"/>
      <c r="E24" s="1"/>
      <c r="F24" s="1"/>
      <c r="G24" s="53" t="s">
        <v>21</v>
      </c>
      <c r="H24" s="1"/>
      <c r="I24" s="19"/>
      <c r="J24" s="47"/>
    </row>
    <row r="25" spans="1:11" ht="18" x14ac:dyDescent="0.4">
      <c r="A25" s="1" t="s">
        <v>21</v>
      </c>
      <c r="B25" s="54"/>
      <c r="C25" s="1"/>
      <c r="D25" s="54"/>
      <c r="E25" s="1"/>
      <c r="F25" s="19"/>
      <c r="G25" s="47" t="s">
        <v>21</v>
      </c>
      <c r="H25" s="1"/>
      <c r="I25" s="55"/>
      <c r="J25" s="1"/>
      <c r="K25" s="23"/>
    </row>
    <row r="26" spans="1:11" ht="18" x14ac:dyDescent="0.4">
      <c r="A26" s="56" t="s">
        <v>44</v>
      </c>
      <c r="B26" s="57" t="s">
        <v>45</v>
      </c>
      <c r="D26" s="57" t="s">
        <v>46</v>
      </c>
      <c r="G26" s="57" t="s">
        <v>47</v>
      </c>
      <c r="I26" s="57" t="s">
        <v>48</v>
      </c>
    </row>
    <row r="27" spans="1:11" ht="18" x14ac:dyDescent="0.4">
      <c r="B27" s="57"/>
      <c r="D27" s="57"/>
      <c r="G27" s="57"/>
      <c r="I27" s="57"/>
    </row>
    <row r="28" spans="1:11" ht="18" x14ac:dyDescent="0.4">
      <c r="A28" s="32" t="s">
        <v>21</v>
      </c>
      <c r="B28" s="57"/>
      <c r="D28" s="57"/>
      <c r="G28" s="57"/>
      <c r="I28" s="57"/>
    </row>
    <row r="29" spans="1:11" ht="16" thickBot="1" x14ac:dyDescent="0.4">
      <c r="A29" s="32" t="s">
        <v>21</v>
      </c>
      <c r="D29" s="54" t="s">
        <v>21</v>
      </c>
      <c r="G29" s="54" t="s">
        <v>21</v>
      </c>
    </row>
    <row r="30" spans="1:11" x14ac:dyDescent="0.35">
      <c r="A30" s="58"/>
      <c r="B30" s="59"/>
      <c r="C30" s="59"/>
      <c r="D30" s="59"/>
      <c r="E30" s="59"/>
      <c r="F30" s="59"/>
      <c r="G30" s="59"/>
      <c r="H30" s="59"/>
      <c r="I30" s="60"/>
    </row>
    <row r="31" spans="1:11" ht="18" x14ac:dyDescent="0.4">
      <c r="A31" s="61" t="s">
        <v>49</v>
      </c>
      <c r="B31" s="47">
        <f>+G16</f>
        <v>9.4517486809953272E-3</v>
      </c>
      <c r="D31" s="47">
        <v>9.2300000000000004E-3</v>
      </c>
      <c r="G31" s="47">
        <v>1.0319999999999999E-2</v>
      </c>
      <c r="H31" s="62"/>
      <c r="I31" s="63">
        <v>1.111E-2</v>
      </c>
    </row>
    <row r="32" spans="1:11" ht="20" x14ac:dyDescent="0.4">
      <c r="A32" s="64" t="s">
        <v>50</v>
      </c>
      <c r="B32" s="47">
        <v>8.8500000000000002E-3</v>
      </c>
      <c r="C32" s="1"/>
      <c r="D32" s="65">
        <v>8.4799999999999997E-3</v>
      </c>
      <c r="E32" s="47"/>
      <c r="F32" s="47"/>
      <c r="G32" s="65">
        <v>9.7400000000000004E-3</v>
      </c>
      <c r="H32" s="47"/>
      <c r="I32" s="66">
        <v>1.141E-2</v>
      </c>
    </row>
    <row r="33" spans="1:11" ht="20" x14ac:dyDescent="0.4">
      <c r="A33" s="67"/>
      <c r="B33" s="68"/>
      <c r="C33" s="69"/>
      <c r="E33" s="70"/>
      <c r="F33" s="70"/>
      <c r="H33" s="70"/>
      <c r="I33" s="71" t="s">
        <v>21</v>
      </c>
    </row>
    <row r="34" spans="1:11" ht="20" x14ac:dyDescent="0.4">
      <c r="A34" s="64" t="s">
        <v>51</v>
      </c>
      <c r="B34" s="72">
        <f>+J22</f>
        <v>5.5969731196148535E-3</v>
      </c>
      <c r="C34" s="1"/>
      <c r="D34" s="73">
        <v>3.9100000000000003E-3</v>
      </c>
      <c r="E34" s="47"/>
      <c r="F34" s="47"/>
      <c r="G34" s="73">
        <v>1.1220000000000001E-2</v>
      </c>
      <c r="H34" s="47"/>
      <c r="I34" s="74">
        <v>1.153E-2</v>
      </c>
      <c r="J34" s="1"/>
      <c r="K34" s="1"/>
    </row>
    <row r="35" spans="1:11" ht="20" x14ac:dyDescent="0.4">
      <c r="A35" s="64" t="s">
        <v>52</v>
      </c>
      <c r="B35" s="47">
        <v>6.8900000000000003E-3</v>
      </c>
      <c r="C35" s="1"/>
      <c r="D35" s="47">
        <v>6.1599999999999997E-3</v>
      </c>
      <c r="E35" s="47"/>
      <c r="F35" s="47"/>
      <c r="G35" s="47">
        <v>9.9600000000000001E-3</v>
      </c>
      <c r="H35" s="47"/>
      <c r="I35" s="63">
        <v>1.077E-2</v>
      </c>
      <c r="J35" s="1"/>
      <c r="K35" s="1"/>
    </row>
    <row r="36" spans="1:11" ht="18" thickBot="1" x14ac:dyDescent="0.4">
      <c r="A36" s="75"/>
      <c r="B36" s="76" t="s">
        <v>21</v>
      </c>
      <c r="C36" s="77"/>
      <c r="D36" s="77" t="s">
        <v>21</v>
      </c>
      <c r="E36" s="77"/>
      <c r="F36" s="77"/>
      <c r="G36" s="77"/>
      <c r="H36" s="77"/>
      <c r="I36" s="78"/>
      <c r="J36" s="1"/>
      <c r="K36" s="1"/>
    </row>
    <row r="37" spans="1:11" ht="17.5" x14ac:dyDescent="0.35">
      <c r="A37" s="1"/>
      <c r="B37" s="18" t="s">
        <v>53</v>
      </c>
      <c r="C37" s="1"/>
      <c r="D37" s="1"/>
      <c r="E37" s="1"/>
      <c r="F37" s="1"/>
      <c r="G37" s="1"/>
      <c r="H37" s="1"/>
      <c r="I37" s="1"/>
      <c r="J37" s="1"/>
      <c r="K37" s="1"/>
    </row>
    <row r="38" spans="1:11" ht="17.5" x14ac:dyDescent="0.35">
      <c r="A38" s="1"/>
      <c r="B38" s="18"/>
      <c r="C38" s="1"/>
      <c r="D38" s="1"/>
      <c r="E38" s="1"/>
      <c r="F38" s="1"/>
      <c r="G38" s="1"/>
      <c r="H38" s="1"/>
      <c r="I38" s="1"/>
      <c r="J38" s="1"/>
      <c r="K38" s="1"/>
    </row>
    <row r="39" spans="1:11" ht="18" x14ac:dyDescent="0.4">
      <c r="A39" s="35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8" x14ac:dyDescent="0.4">
      <c r="A40" s="48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8" x14ac:dyDescent="0.4">
      <c r="A41" s="79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7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7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7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7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7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7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7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7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7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7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7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7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7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7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7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7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7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7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7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7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7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7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7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</sheetData>
  <pageMargins left="0.7" right="0.7" top="0.75" bottom="0.75" header="0.3" footer="0.3"/>
  <pageSetup scale="61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20ED-79CC-4B91-91D1-94B1F6D28DDE}">
  <sheetPr>
    <pageSetUpPr fitToPage="1"/>
  </sheetPr>
  <dimension ref="A1:J36"/>
  <sheetViews>
    <sheetView tabSelected="1" workbookViewId="0">
      <selection activeCell="H21" sqref="H21"/>
    </sheetView>
  </sheetViews>
  <sheetFormatPr defaultRowHeight="14.5" x14ac:dyDescent="0.35"/>
  <cols>
    <col min="1" max="1" width="7.453125" customWidth="1"/>
    <col min="2" max="2" width="32.1796875" customWidth="1"/>
    <col min="3" max="3" width="25.26953125" customWidth="1"/>
    <col min="4" max="4" width="4.453125" customWidth="1"/>
    <col min="5" max="5" width="14.26953125" customWidth="1"/>
    <col min="6" max="6" width="2.7265625" customWidth="1"/>
    <col min="7" max="7" width="15.54296875" customWidth="1"/>
    <col min="8" max="8" width="16.7265625" customWidth="1"/>
    <col min="9" max="9" width="17.1796875" customWidth="1"/>
  </cols>
  <sheetData>
    <row r="1" spans="1:10" ht="15.5" x14ac:dyDescent="0.35">
      <c r="A1" s="80" t="s">
        <v>54</v>
      </c>
      <c r="B1" s="81"/>
      <c r="C1" s="81"/>
      <c r="D1" s="81"/>
      <c r="E1" s="81"/>
      <c r="F1" s="81"/>
      <c r="G1" s="81"/>
      <c r="H1" s="81"/>
      <c r="I1" s="82" t="s">
        <v>55</v>
      </c>
      <c r="J1" s="81"/>
    </row>
    <row r="2" spans="1:10" ht="15.5" x14ac:dyDescent="0.35">
      <c r="A2" s="83" t="s">
        <v>29</v>
      </c>
      <c r="B2" s="81"/>
      <c r="C2" s="81"/>
      <c r="D2" s="81"/>
      <c r="E2" s="81"/>
      <c r="F2" s="81"/>
      <c r="G2" s="81"/>
      <c r="H2" s="81"/>
      <c r="I2" s="81" t="s">
        <v>21</v>
      </c>
      <c r="J2" s="81"/>
    </row>
    <row r="3" spans="1:10" x14ac:dyDescent="0.35">
      <c r="A3" s="81"/>
      <c r="B3" s="81"/>
      <c r="C3" s="81"/>
      <c r="D3" s="81"/>
      <c r="E3" s="81"/>
      <c r="F3" s="81"/>
      <c r="G3" s="81"/>
      <c r="H3" s="81"/>
      <c r="J3" s="81"/>
    </row>
    <row r="4" spans="1:10" x14ac:dyDescent="0.35">
      <c r="A4" s="81"/>
      <c r="B4" s="81"/>
      <c r="C4" s="81"/>
      <c r="D4" s="81"/>
      <c r="E4" s="81"/>
      <c r="F4" s="81"/>
      <c r="G4" s="81"/>
      <c r="H4" s="81"/>
      <c r="I4" s="81"/>
      <c r="J4" s="81"/>
    </row>
    <row r="5" spans="1:10" x14ac:dyDescent="0.35">
      <c r="A5" s="81"/>
      <c r="B5" s="81"/>
      <c r="C5" s="81"/>
      <c r="D5" s="81"/>
      <c r="E5" s="81"/>
      <c r="F5" s="81"/>
      <c r="G5" s="81"/>
      <c r="H5" s="81"/>
      <c r="I5" s="81"/>
      <c r="J5" s="81"/>
    </row>
    <row r="6" spans="1:10" x14ac:dyDescent="0.35">
      <c r="A6" s="81"/>
      <c r="B6" s="81"/>
      <c r="C6" s="81"/>
      <c r="D6" s="81"/>
      <c r="E6" s="81"/>
      <c r="F6" s="81"/>
      <c r="G6" s="81"/>
      <c r="H6" s="81"/>
      <c r="I6" s="81"/>
      <c r="J6" s="81"/>
    </row>
    <row r="7" spans="1:10" x14ac:dyDescent="0.35">
      <c r="A7" s="81"/>
      <c r="B7" s="81"/>
      <c r="C7" s="81"/>
      <c r="D7" s="81"/>
      <c r="E7" s="81"/>
      <c r="F7" s="81"/>
      <c r="G7" s="81"/>
      <c r="H7" s="81"/>
      <c r="I7" s="81"/>
      <c r="J7" s="81"/>
    </row>
    <row r="8" spans="1:10" ht="15.5" x14ac:dyDescent="0.35">
      <c r="A8" s="81"/>
      <c r="B8" s="81"/>
      <c r="C8" s="81"/>
      <c r="D8" s="84" t="s">
        <v>0</v>
      </c>
      <c r="E8" s="81"/>
      <c r="F8" s="81"/>
      <c r="G8" s="81"/>
      <c r="H8" s="81"/>
      <c r="I8" s="81"/>
      <c r="J8" s="81"/>
    </row>
    <row r="9" spans="1:10" ht="15.5" x14ac:dyDescent="0.35">
      <c r="A9" s="81"/>
      <c r="B9" s="81"/>
      <c r="C9" s="81"/>
      <c r="D9" s="85" t="s">
        <v>56</v>
      </c>
      <c r="E9" s="81"/>
      <c r="F9" s="81"/>
      <c r="G9" s="81"/>
      <c r="H9" s="81"/>
      <c r="I9" s="81"/>
      <c r="J9" s="81"/>
    </row>
    <row r="10" spans="1:10" x14ac:dyDescent="0.35">
      <c r="A10" s="81"/>
      <c r="B10" s="81"/>
      <c r="C10" s="81"/>
      <c r="D10" s="81"/>
      <c r="E10" s="81"/>
      <c r="F10" s="81"/>
      <c r="G10" s="81"/>
      <c r="H10" s="81"/>
      <c r="I10" s="81"/>
      <c r="J10" s="81"/>
    </row>
    <row r="11" spans="1:10" x14ac:dyDescent="0.35">
      <c r="A11" s="81"/>
      <c r="B11" s="81"/>
      <c r="C11" s="81"/>
      <c r="D11" s="81"/>
      <c r="E11" s="81"/>
      <c r="F11" s="81"/>
      <c r="G11" s="81"/>
      <c r="H11" s="81"/>
      <c r="I11" s="81"/>
      <c r="J11" s="81"/>
    </row>
    <row r="12" spans="1:10" ht="15.5" x14ac:dyDescent="0.35">
      <c r="A12" s="81"/>
      <c r="B12" s="81"/>
      <c r="C12" s="86" t="s">
        <v>30</v>
      </c>
      <c r="D12" s="87"/>
      <c r="E12" s="87"/>
      <c r="F12" s="87"/>
      <c r="G12" s="87"/>
      <c r="H12" s="87"/>
      <c r="I12" s="87"/>
      <c r="J12" s="81"/>
    </row>
    <row r="13" spans="1:10" ht="15.5" x14ac:dyDescent="0.35">
      <c r="A13" s="81"/>
      <c r="B13" s="81"/>
      <c r="C13" s="88" t="s">
        <v>37</v>
      </c>
      <c r="D13" s="87"/>
      <c r="E13" s="81"/>
      <c r="F13" s="87"/>
      <c r="G13" s="86" t="s">
        <v>57</v>
      </c>
      <c r="H13" s="87"/>
      <c r="I13" s="87"/>
      <c r="J13" s="81"/>
    </row>
    <row r="14" spans="1:10" ht="15.5" x14ac:dyDescent="0.35">
      <c r="A14" s="81"/>
      <c r="B14" s="81"/>
      <c r="C14" s="86" t="s">
        <v>32</v>
      </c>
      <c r="D14" s="87"/>
      <c r="E14" s="86" t="s">
        <v>57</v>
      </c>
      <c r="F14" s="87"/>
      <c r="G14" s="89" t="s">
        <v>58</v>
      </c>
      <c r="H14" s="86" t="s">
        <v>59</v>
      </c>
      <c r="I14" s="86" t="s">
        <v>57</v>
      </c>
      <c r="J14" s="81"/>
    </row>
    <row r="15" spans="1:10" ht="15.5" x14ac:dyDescent="0.35">
      <c r="A15" s="81"/>
      <c r="B15" s="90" t="s">
        <v>21</v>
      </c>
      <c r="C15" s="91" t="s">
        <v>60</v>
      </c>
      <c r="D15" s="87"/>
      <c r="E15" s="91" t="s">
        <v>33</v>
      </c>
      <c r="F15" s="87"/>
      <c r="G15" s="92" t="s">
        <v>61</v>
      </c>
      <c r="H15" s="91" t="s">
        <v>33</v>
      </c>
      <c r="I15" s="93" t="s">
        <v>62</v>
      </c>
      <c r="J15" s="81"/>
    </row>
    <row r="16" spans="1:10" x14ac:dyDescent="0.35">
      <c r="A16" s="81"/>
      <c r="B16" s="81"/>
      <c r="C16" s="81"/>
      <c r="D16" s="81"/>
      <c r="E16" s="81"/>
      <c r="F16" s="81"/>
      <c r="G16" s="81"/>
      <c r="H16" s="81"/>
      <c r="I16" s="81"/>
      <c r="J16" s="81"/>
    </row>
    <row r="17" spans="1:10" ht="15.5" x14ac:dyDescent="0.35">
      <c r="A17" s="81"/>
      <c r="B17" s="94" t="s">
        <v>63</v>
      </c>
      <c r="C17" s="95" t="s">
        <v>21</v>
      </c>
      <c r="D17" s="81"/>
      <c r="E17" s="96"/>
      <c r="F17" s="90"/>
      <c r="G17" s="97" t="s">
        <v>21</v>
      </c>
      <c r="H17" s="96"/>
      <c r="I17" s="98"/>
      <c r="J17" s="81"/>
    </row>
    <row r="18" spans="1:10" x14ac:dyDescent="0.35">
      <c r="A18" s="81"/>
      <c r="B18" s="90"/>
      <c r="C18" s="96" t="s">
        <v>21</v>
      </c>
      <c r="D18" s="81"/>
      <c r="E18" s="96"/>
      <c r="F18" s="90"/>
      <c r="G18" s="99"/>
      <c r="H18" s="96"/>
      <c r="I18" s="98"/>
      <c r="J18" s="81"/>
    </row>
    <row r="19" spans="1:10" ht="15.5" x14ac:dyDescent="0.35">
      <c r="A19" s="81"/>
      <c r="B19" s="90"/>
      <c r="C19" s="96" t="s">
        <v>21</v>
      </c>
      <c r="D19" s="81"/>
      <c r="E19" s="96" t="s">
        <v>21</v>
      </c>
      <c r="F19" s="90"/>
      <c r="G19" s="99"/>
      <c r="H19" s="95" t="s">
        <v>21</v>
      </c>
      <c r="I19" s="100" t="s">
        <v>21</v>
      </c>
      <c r="J19" s="81" t="s">
        <v>21</v>
      </c>
    </row>
    <row r="20" spans="1:10" ht="15.5" x14ac:dyDescent="0.35">
      <c r="A20" s="81"/>
      <c r="B20" s="81" t="s">
        <v>64</v>
      </c>
      <c r="C20" s="101">
        <v>645432231.62</v>
      </c>
      <c r="D20" s="101"/>
      <c r="E20" s="101">
        <f>2364749.1-608175.18+256928.87</f>
        <v>2013502.79</v>
      </c>
      <c r="F20" s="101"/>
      <c r="G20" s="101">
        <v>0</v>
      </c>
      <c r="H20" s="95">
        <f>SUM(E20+G20)*365/30</f>
        <v>24497617.278333332</v>
      </c>
      <c r="I20" s="100">
        <f>H20/(C20)*100</f>
        <v>3.7955367082994353</v>
      </c>
      <c r="J20" s="81" t="s">
        <v>65</v>
      </c>
    </row>
    <row r="21" spans="1:10" x14ac:dyDescent="0.35">
      <c r="A21" s="81"/>
      <c r="B21" s="90"/>
      <c r="C21" s="96" t="s">
        <v>21</v>
      </c>
      <c r="D21" s="81"/>
      <c r="E21" s="96"/>
      <c r="F21" s="90"/>
      <c r="G21" s="99"/>
      <c r="H21" s="96"/>
      <c r="I21" s="98"/>
      <c r="J21" s="81"/>
    </row>
    <row r="22" spans="1:10" ht="15.5" x14ac:dyDescent="0.35">
      <c r="A22" s="81"/>
      <c r="B22" s="81" t="s">
        <v>66</v>
      </c>
      <c r="C22" s="101">
        <v>206507909.22999999</v>
      </c>
      <c r="D22" s="101"/>
      <c r="E22" s="101">
        <v>608175.18000000005</v>
      </c>
      <c r="F22" s="101" t="s">
        <v>21</v>
      </c>
      <c r="G22" s="101">
        <v>100180</v>
      </c>
      <c r="H22" s="95">
        <f>SUM(E22+G22)*365/30</f>
        <v>8618321.3566666674</v>
      </c>
      <c r="I22" s="100">
        <f>H22/(C22)*100</f>
        <v>4.173361392695103</v>
      </c>
      <c r="J22" s="81" t="s">
        <v>65</v>
      </c>
    </row>
    <row r="23" spans="1:10" ht="15.5" x14ac:dyDescent="0.35">
      <c r="A23" s="81"/>
      <c r="B23" s="81"/>
      <c r="C23" s="101"/>
      <c r="D23" s="101"/>
      <c r="E23" s="101"/>
      <c r="F23" s="101"/>
      <c r="G23" s="101"/>
      <c r="H23" s="95" t="s">
        <v>21</v>
      </c>
      <c r="I23" s="100" t="s">
        <v>21</v>
      </c>
      <c r="J23" s="81"/>
    </row>
    <row r="24" spans="1:10" ht="15.5" x14ac:dyDescent="0.35">
      <c r="A24" s="81"/>
      <c r="B24" s="81" t="s">
        <v>67</v>
      </c>
      <c r="C24" s="101" t="s">
        <v>21</v>
      </c>
      <c r="D24" s="102" t="s">
        <v>21</v>
      </c>
      <c r="E24" s="101" t="s">
        <v>21</v>
      </c>
      <c r="F24" s="97" t="s">
        <v>21</v>
      </c>
      <c r="G24" s="101" t="s">
        <v>21</v>
      </c>
      <c r="H24" s="95">
        <v>0</v>
      </c>
      <c r="I24" s="100">
        <v>0</v>
      </c>
      <c r="J24" s="81" t="s">
        <v>65</v>
      </c>
    </row>
    <row r="25" spans="1:10" ht="15.5" x14ac:dyDescent="0.35">
      <c r="A25" s="81" t="s">
        <v>21</v>
      </c>
      <c r="B25" s="81"/>
      <c r="C25" s="101"/>
      <c r="D25" s="97"/>
      <c r="E25" s="101"/>
      <c r="F25" s="97"/>
      <c r="G25" s="101"/>
      <c r="H25" s="95"/>
      <c r="I25" s="100"/>
      <c r="J25" s="81"/>
    </row>
    <row r="26" spans="1:10" x14ac:dyDescent="0.35">
      <c r="A26" s="81"/>
      <c r="B26" s="81" t="s">
        <v>21</v>
      </c>
      <c r="C26" s="97" t="s">
        <v>21</v>
      </c>
      <c r="D26" s="97"/>
      <c r="E26" s="97"/>
      <c r="F26" s="97"/>
      <c r="G26" s="97"/>
      <c r="H26" s="96"/>
      <c r="I26" s="103"/>
      <c r="J26" s="81"/>
    </row>
    <row r="27" spans="1:10" x14ac:dyDescent="0.35">
      <c r="A27" s="81"/>
      <c r="B27" s="81"/>
      <c r="C27" s="97"/>
      <c r="D27" s="97"/>
      <c r="E27" s="97"/>
      <c r="F27" s="97"/>
      <c r="G27" s="97"/>
      <c r="H27" s="96"/>
      <c r="I27" s="103"/>
      <c r="J27" s="81"/>
    </row>
    <row r="28" spans="1:10" ht="15.5" x14ac:dyDescent="0.35">
      <c r="A28" s="81"/>
      <c r="B28" s="81" t="s">
        <v>68</v>
      </c>
      <c r="C28" s="101">
        <f>SUM(C20:C27)</f>
        <v>851940140.85000002</v>
      </c>
      <c r="D28" s="101"/>
      <c r="E28" s="101">
        <f>SUM(E20:E27)</f>
        <v>2621677.9700000002</v>
      </c>
      <c r="F28" s="101"/>
      <c r="G28" s="101">
        <f>SUM(G20:G27)</f>
        <v>100180</v>
      </c>
      <c r="H28" s="101">
        <f>SUM(H20:H27)</f>
        <v>33115938.634999998</v>
      </c>
      <c r="I28" s="100">
        <f>H28/(C28+C29)*100</f>
        <v>3.8871203558925482</v>
      </c>
      <c r="J28" s="81" t="s">
        <v>65</v>
      </c>
    </row>
    <row r="29" spans="1:10" x14ac:dyDescent="0.35">
      <c r="A29" s="81"/>
      <c r="B29" s="81"/>
      <c r="C29" s="104"/>
      <c r="D29" s="104"/>
      <c r="E29" s="105" t="s">
        <v>21</v>
      </c>
      <c r="F29" s="104"/>
      <c r="G29" s="104" t="s">
        <v>21</v>
      </c>
      <c r="H29" s="104"/>
      <c r="I29" s="106"/>
      <c r="J29" s="81"/>
    </row>
    <row r="30" spans="1:10" x14ac:dyDescent="0.35">
      <c r="A30" s="81"/>
      <c r="B30" s="81"/>
      <c r="C30" s="107"/>
      <c r="D30" s="107"/>
      <c r="E30" s="107"/>
      <c r="F30" s="107"/>
      <c r="G30" s="107"/>
      <c r="H30" s="98"/>
      <c r="I30" s="98"/>
      <c r="J30" s="81"/>
    </row>
    <row r="31" spans="1:10" x14ac:dyDescent="0.35">
      <c r="A31" s="81"/>
      <c r="B31" s="108"/>
      <c r="C31" s="109" t="s">
        <v>21</v>
      </c>
      <c r="D31" s="107"/>
      <c r="E31" s="107" t="s">
        <v>21</v>
      </c>
      <c r="F31" s="107"/>
      <c r="G31" s="107"/>
      <c r="H31" s="98"/>
      <c r="I31" s="98"/>
      <c r="J31" s="81"/>
    </row>
    <row r="32" spans="1:10" x14ac:dyDescent="0.35">
      <c r="C32" s="110"/>
      <c r="D32" s="110"/>
      <c r="E32" s="110"/>
      <c r="F32" s="110"/>
      <c r="G32" s="110"/>
      <c r="H32" s="111"/>
      <c r="I32" s="111"/>
    </row>
    <row r="33" spans="2:9" x14ac:dyDescent="0.35">
      <c r="E33" s="110"/>
      <c r="F33" s="110"/>
      <c r="G33" s="110"/>
      <c r="H33" s="111"/>
      <c r="I33" s="110"/>
    </row>
    <row r="34" spans="2:9" x14ac:dyDescent="0.35">
      <c r="E34" s="110"/>
      <c r="F34" s="110"/>
      <c r="G34" s="110"/>
      <c r="H34" s="110"/>
      <c r="I34" s="110"/>
    </row>
    <row r="35" spans="2:9" x14ac:dyDescent="0.35">
      <c r="B35" s="112"/>
      <c r="E35" s="110"/>
      <c r="F35" s="110"/>
      <c r="G35" s="110"/>
      <c r="H35" s="110"/>
      <c r="I35" s="110"/>
    </row>
    <row r="36" spans="2:9" x14ac:dyDescent="0.35">
      <c r="B36" s="112"/>
      <c r="E36" s="110"/>
      <c r="F36" s="110"/>
      <c r="G36" s="110"/>
      <c r="H36" s="110"/>
      <c r="I36" s="110"/>
    </row>
  </sheetData>
  <pageMargins left="0.7" right="0.7" top="0.75" bottom="0.75" header="0.3" footer="0.3"/>
  <pageSetup scale="86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E69F-34F9-45D5-B366-349F282FD14A}">
  <dimension ref="A1:P2876"/>
  <sheetViews>
    <sheetView topLeftCell="B148" workbookViewId="0">
      <selection activeCell="B208" sqref="B208"/>
    </sheetView>
  </sheetViews>
  <sheetFormatPr defaultColWidth="9.1796875" defaultRowHeight="12.5" x14ac:dyDescent="0.25"/>
  <cols>
    <col min="1" max="1" width="12.26953125" style="113" hidden="1" customWidth="1"/>
    <col min="2" max="2" width="35.81640625" style="113" customWidth="1"/>
    <col min="3" max="3" width="20.81640625" style="2" customWidth="1"/>
    <col min="4" max="4" width="0.1796875" style="2" customWidth="1"/>
    <col min="5" max="5" width="41.26953125" style="2" customWidth="1"/>
    <col min="6" max="6" width="23.7265625" style="2" customWidth="1"/>
    <col min="7" max="7" width="22.26953125" style="2" customWidth="1"/>
    <col min="8" max="8" width="22.453125" style="2" customWidth="1"/>
    <col min="9" max="9" width="13.81640625" style="2" customWidth="1"/>
    <col min="10" max="10" width="28.7265625" style="2" customWidth="1"/>
    <col min="11" max="11" width="2.7265625" style="2" customWidth="1"/>
    <col min="12" max="12" width="26" style="2" customWidth="1"/>
    <col min="13" max="13" width="35" style="2" customWidth="1"/>
    <col min="14" max="14" width="20.54296875" style="2" customWidth="1"/>
    <col min="15" max="15" width="15.81640625" style="2" customWidth="1"/>
    <col min="16" max="16" width="21.54296875" style="2" customWidth="1"/>
    <col min="17" max="17" width="12.81640625" style="2" bestFit="1" customWidth="1"/>
    <col min="18" max="16384" width="9.1796875" style="2"/>
  </cols>
  <sheetData>
    <row r="1" spans="2:13" ht="17.5" x14ac:dyDescent="0.35">
      <c r="B1" s="114">
        <v>46203</v>
      </c>
      <c r="F1" s="25"/>
      <c r="G1" s="2" t="s">
        <v>53</v>
      </c>
    </row>
    <row r="2" spans="2:13" ht="18" x14ac:dyDescent="0.4">
      <c r="B2" s="115"/>
      <c r="F2" s="25"/>
      <c r="M2" s="5" t="s">
        <v>21</v>
      </c>
    </row>
    <row r="3" spans="2:13" ht="18" x14ac:dyDescent="0.4">
      <c r="B3" s="115"/>
      <c r="F3" s="25"/>
      <c r="M3" s="5" t="s">
        <v>21</v>
      </c>
    </row>
    <row r="4" spans="2:13" ht="17.5" x14ac:dyDescent="0.35">
      <c r="B4" s="115" t="s">
        <v>69</v>
      </c>
      <c r="F4" s="25"/>
    </row>
    <row r="5" spans="2:13" x14ac:dyDescent="0.25">
      <c r="F5" s="25"/>
    </row>
    <row r="6" spans="2:13" ht="17.5" x14ac:dyDescent="0.35">
      <c r="C6" s="116"/>
      <c r="D6" s="116"/>
      <c r="E6" s="116"/>
      <c r="F6" s="117"/>
      <c r="G6" s="116"/>
      <c r="H6" s="116"/>
      <c r="I6" s="116"/>
      <c r="J6" s="116"/>
      <c r="K6" s="116"/>
      <c r="L6" s="118"/>
      <c r="M6" s="119"/>
    </row>
    <row r="7" spans="2:13" ht="17.5" x14ac:dyDescent="0.35">
      <c r="B7" s="113" t="s">
        <v>70</v>
      </c>
      <c r="C7" s="116"/>
      <c r="D7" s="120" t="s">
        <v>21</v>
      </c>
      <c r="E7" s="116"/>
      <c r="F7" s="117"/>
      <c r="G7" s="120" t="s">
        <v>71</v>
      </c>
      <c r="H7" s="116"/>
      <c r="I7" s="28" t="s">
        <v>72</v>
      </c>
      <c r="J7" s="28" t="s">
        <v>73</v>
      </c>
      <c r="K7" s="116"/>
      <c r="L7" s="121" t="s">
        <v>74</v>
      </c>
      <c r="M7" s="119" t="s">
        <v>75</v>
      </c>
    </row>
    <row r="8" spans="2:13" ht="17.5" x14ac:dyDescent="0.35">
      <c r="B8" s="122" t="s">
        <v>76</v>
      </c>
      <c r="C8" s="123" t="s">
        <v>37</v>
      </c>
      <c r="D8" s="124" t="s">
        <v>21</v>
      </c>
      <c r="E8" s="125" t="s">
        <v>77</v>
      </c>
      <c r="F8" s="126" t="s">
        <v>78</v>
      </c>
      <c r="G8" s="124" t="s">
        <v>79</v>
      </c>
      <c r="H8" s="127" t="s">
        <v>80</v>
      </c>
      <c r="I8" s="125" t="s">
        <v>81</v>
      </c>
      <c r="J8" s="125" t="s">
        <v>82</v>
      </c>
      <c r="K8" s="128"/>
      <c r="L8" s="129">
        <v>46203</v>
      </c>
      <c r="M8" s="129">
        <v>46203</v>
      </c>
    </row>
    <row r="9" spans="2:13" x14ac:dyDescent="0.25">
      <c r="C9" s="116"/>
      <c r="D9" s="116"/>
      <c r="E9" s="116"/>
      <c r="F9" s="116"/>
      <c r="G9" s="116"/>
      <c r="H9" s="116"/>
      <c r="I9" s="116"/>
      <c r="J9" s="116"/>
      <c r="K9" s="116"/>
      <c r="M9" s="116"/>
    </row>
    <row r="11" spans="2:13" x14ac:dyDescent="0.25">
      <c r="E11" s="2" t="s">
        <v>21</v>
      </c>
    </row>
    <row r="12" spans="2:13" ht="15.5" x14ac:dyDescent="0.35">
      <c r="B12" s="130" t="s">
        <v>63</v>
      </c>
      <c r="I12" s="131"/>
    </row>
    <row r="13" spans="2:13" x14ac:dyDescent="0.25">
      <c r="I13" s="131"/>
    </row>
    <row r="14" spans="2:13" ht="15.5" x14ac:dyDescent="0.35">
      <c r="B14" s="132">
        <v>46204</v>
      </c>
      <c r="C14" s="133">
        <v>319777435.38</v>
      </c>
      <c r="E14" s="134" t="s">
        <v>83</v>
      </c>
      <c r="F14" s="133">
        <v>319777435.38</v>
      </c>
      <c r="G14" s="135">
        <v>3.71</v>
      </c>
      <c r="H14" s="136">
        <v>100</v>
      </c>
      <c r="I14" s="137">
        <v>41885</v>
      </c>
      <c r="J14" s="134" t="s">
        <v>84</v>
      </c>
      <c r="L14" s="133">
        <v>100</v>
      </c>
      <c r="M14" s="133">
        <f t="shared" ref="M14:M43" si="0">SUM(L14*F14)/100</f>
        <v>319777435.38</v>
      </c>
    </row>
    <row r="15" spans="2:13" ht="15.5" x14ac:dyDescent="0.35">
      <c r="B15" s="132">
        <v>46204</v>
      </c>
      <c r="C15" s="133">
        <v>66676837.299999997</v>
      </c>
      <c r="E15" s="134" t="s">
        <v>85</v>
      </c>
      <c r="F15" s="133">
        <v>66676837.299999997</v>
      </c>
      <c r="G15" s="135">
        <v>3.71</v>
      </c>
      <c r="H15" s="136">
        <v>100</v>
      </c>
      <c r="I15" s="137">
        <v>45743</v>
      </c>
      <c r="J15" s="134" t="s">
        <v>86</v>
      </c>
      <c r="L15" s="133">
        <v>100</v>
      </c>
      <c r="M15" s="133">
        <f t="shared" si="0"/>
        <v>66676837.299999997</v>
      </c>
    </row>
    <row r="16" spans="2:13" ht="15.5" x14ac:dyDescent="0.35">
      <c r="B16" s="132">
        <v>46204</v>
      </c>
      <c r="C16" s="133">
        <v>35962879.590000004</v>
      </c>
      <c r="E16" s="134" t="s">
        <v>87</v>
      </c>
      <c r="F16" s="133">
        <v>35962879.590000004</v>
      </c>
      <c r="G16" s="135">
        <v>3.75</v>
      </c>
      <c r="H16" s="136">
        <v>100</v>
      </c>
      <c r="I16" s="137">
        <v>40687</v>
      </c>
      <c r="J16" s="134" t="s">
        <v>88</v>
      </c>
      <c r="L16" s="133">
        <v>100</v>
      </c>
      <c r="M16" s="133">
        <f t="shared" si="0"/>
        <v>35962879.590000004</v>
      </c>
    </row>
    <row r="17" spans="2:14" ht="15.5" x14ac:dyDescent="0.35">
      <c r="B17" s="132">
        <v>46204</v>
      </c>
      <c r="C17" s="133">
        <v>147731289.09</v>
      </c>
      <c r="E17" s="134" t="s">
        <v>89</v>
      </c>
      <c r="F17" s="133">
        <v>147731289.09</v>
      </c>
      <c r="G17" s="135">
        <v>3.82</v>
      </c>
      <c r="H17" s="136">
        <v>100</v>
      </c>
      <c r="I17" s="137">
        <v>43160</v>
      </c>
      <c r="J17" s="134" t="s">
        <v>88</v>
      </c>
      <c r="L17" s="133">
        <v>100</v>
      </c>
      <c r="M17" s="133">
        <f t="shared" si="0"/>
        <v>147731289.09</v>
      </c>
    </row>
    <row r="18" spans="2:14" ht="15.5" x14ac:dyDescent="0.35">
      <c r="B18" s="132">
        <v>46204</v>
      </c>
      <c r="C18" s="133">
        <v>10225797.880000001</v>
      </c>
      <c r="E18" s="134" t="s">
        <v>90</v>
      </c>
      <c r="F18" s="133">
        <v>10225797.880000001</v>
      </c>
      <c r="G18" s="135">
        <v>3.7509000000000001</v>
      </c>
      <c r="H18" s="136">
        <v>100</v>
      </c>
      <c r="I18" s="137">
        <v>42612</v>
      </c>
      <c r="J18" s="134" t="s">
        <v>91</v>
      </c>
      <c r="L18" s="133">
        <v>100</v>
      </c>
      <c r="M18" s="133">
        <f t="shared" si="0"/>
        <v>10225797.880000001</v>
      </c>
    </row>
    <row r="19" spans="2:14" ht="15.5" x14ac:dyDescent="0.35">
      <c r="B19" s="138">
        <v>46218</v>
      </c>
      <c r="C19" s="133"/>
      <c r="E19" s="134" t="s">
        <v>92</v>
      </c>
      <c r="F19" s="133">
        <v>7000000</v>
      </c>
      <c r="G19" s="135">
        <v>4.5</v>
      </c>
      <c r="H19" s="136">
        <v>99.847656000000001</v>
      </c>
      <c r="I19" s="137">
        <v>45142</v>
      </c>
      <c r="J19" s="134" t="s">
        <v>93</v>
      </c>
      <c r="L19" s="133">
        <f>7002030/70000</f>
        <v>100.029</v>
      </c>
      <c r="M19" s="133">
        <f t="shared" si="0"/>
        <v>7002030</v>
      </c>
      <c r="N19" s="25"/>
    </row>
    <row r="20" spans="2:14" ht="15.5" x14ac:dyDescent="0.35">
      <c r="B20" s="138">
        <v>46249</v>
      </c>
      <c r="C20" s="133"/>
      <c r="E20" s="134" t="s">
        <v>92</v>
      </c>
      <c r="F20" s="133">
        <v>5000000</v>
      </c>
      <c r="G20" s="135">
        <v>4.375</v>
      </c>
      <c r="H20" s="136">
        <v>98.390625</v>
      </c>
      <c r="I20" s="137">
        <v>45204</v>
      </c>
      <c r="J20" s="134" t="s">
        <v>94</v>
      </c>
      <c r="L20" s="133">
        <f>11005830/110000</f>
        <v>100.053</v>
      </c>
      <c r="M20" s="133">
        <f t="shared" si="0"/>
        <v>5002650</v>
      </c>
      <c r="N20" s="25"/>
    </row>
    <row r="21" spans="2:14" ht="15.5" x14ac:dyDescent="0.35">
      <c r="B21" s="138">
        <v>46249</v>
      </c>
      <c r="C21" s="133"/>
      <c r="E21" s="134" t="s">
        <v>92</v>
      </c>
      <c r="F21" s="133">
        <v>6000000</v>
      </c>
      <c r="G21" s="135">
        <v>4.375</v>
      </c>
      <c r="H21" s="136">
        <v>98.953125</v>
      </c>
      <c r="I21" s="137">
        <v>45233</v>
      </c>
      <c r="J21" s="134" t="s">
        <v>95</v>
      </c>
      <c r="L21" s="133">
        <f>11005830/110000</f>
        <v>100.053</v>
      </c>
      <c r="M21" s="133">
        <f t="shared" si="0"/>
        <v>6003180</v>
      </c>
      <c r="N21" s="25"/>
    </row>
    <row r="22" spans="2:14" ht="15.5" x14ac:dyDescent="0.35">
      <c r="B22" s="138">
        <v>46280</v>
      </c>
      <c r="C22" s="133"/>
      <c r="E22" s="134" t="s">
        <v>92</v>
      </c>
      <c r="F22" s="133">
        <f>10000000-6000000</f>
        <v>4000000</v>
      </c>
      <c r="G22" s="135">
        <v>4.625</v>
      </c>
      <c r="H22" s="136">
        <v>99.11328125</v>
      </c>
      <c r="I22" s="137">
        <v>45204</v>
      </c>
      <c r="J22" s="134" t="s">
        <v>93</v>
      </c>
      <c r="L22" s="133">
        <f>4006840/40000</f>
        <v>100.17100000000001</v>
      </c>
      <c r="M22" s="133">
        <f t="shared" si="0"/>
        <v>4006840</v>
      </c>
      <c r="N22" s="25"/>
    </row>
    <row r="23" spans="2:14" ht="15.5" x14ac:dyDescent="0.35">
      <c r="B23" s="138">
        <v>46295</v>
      </c>
      <c r="C23" s="133"/>
      <c r="E23" s="134" t="s">
        <v>92</v>
      </c>
      <c r="F23" s="133">
        <v>10000000</v>
      </c>
      <c r="G23" s="135">
        <v>1.625</v>
      </c>
      <c r="H23" s="136">
        <v>93.625</v>
      </c>
      <c r="I23" s="137">
        <v>45287</v>
      </c>
      <c r="J23" s="134" t="s">
        <v>94</v>
      </c>
      <c r="L23" s="133">
        <f>9945700/100000</f>
        <v>99.456999999999994</v>
      </c>
      <c r="M23" s="133">
        <f t="shared" si="0"/>
        <v>9945699.9999999981</v>
      </c>
      <c r="N23" s="25"/>
    </row>
    <row r="24" spans="2:14" ht="15.5" x14ac:dyDescent="0.35">
      <c r="B24" s="138">
        <v>46296</v>
      </c>
      <c r="C24" s="133"/>
      <c r="E24" s="134" t="s">
        <v>96</v>
      </c>
      <c r="F24" s="133">
        <v>100000</v>
      </c>
      <c r="G24" s="135">
        <v>4.5880000000000001</v>
      </c>
      <c r="H24" s="136">
        <v>100</v>
      </c>
      <c r="I24" s="137">
        <v>45279</v>
      </c>
      <c r="J24" s="134" t="s">
        <v>95</v>
      </c>
      <c r="L24" s="133">
        <f>535518.95/5350</f>
        <v>100.09699999999999</v>
      </c>
      <c r="M24" s="133">
        <f t="shared" si="0"/>
        <v>100097</v>
      </c>
      <c r="N24" s="25"/>
    </row>
    <row r="25" spans="2:14" ht="15.5" x14ac:dyDescent="0.35">
      <c r="B25" s="138">
        <v>46296</v>
      </c>
      <c r="C25" s="133"/>
      <c r="E25" s="134" t="s">
        <v>97</v>
      </c>
      <c r="F25" s="133">
        <v>435000</v>
      </c>
      <c r="G25" s="135">
        <v>4.5880000000000001</v>
      </c>
      <c r="H25" s="136">
        <v>100</v>
      </c>
      <c r="I25" s="137">
        <v>45279</v>
      </c>
      <c r="J25" s="134" t="s">
        <v>95</v>
      </c>
      <c r="L25" s="133">
        <f>535518.95/5350</f>
        <v>100.09699999999999</v>
      </c>
      <c r="M25" s="133">
        <f>SUM(L25*F25)/100</f>
        <v>435421.95</v>
      </c>
      <c r="N25" s="25"/>
    </row>
    <row r="26" spans="2:14" ht="15.5" x14ac:dyDescent="0.35">
      <c r="B26" s="138">
        <v>46341</v>
      </c>
      <c r="C26" s="133"/>
      <c r="E26" s="134" t="s">
        <v>92</v>
      </c>
      <c r="F26" s="133">
        <f>10000000-6000000</f>
        <v>4000000</v>
      </c>
      <c r="G26" s="135">
        <v>6.5</v>
      </c>
      <c r="H26" s="136">
        <v>106.875</v>
      </c>
      <c r="I26" s="137">
        <v>45324</v>
      </c>
      <c r="J26" s="134" t="s">
        <v>98</v>
      </c>
      <c r="L26" s="133">
        <f>4036880/40000</f>
        <v>100.922</v>
      </c>
      <c r="M26" s="133">
        <f t="shared" si="0"/>
        <v>4036880</v>
      </c>
      <c r="N26" s="25"/>
    </row>
    <row r="27" spans="2:14" ht="15.5" x14ac:dyDescent="0.35">
      <c r="B27" s="138">
        <v>46343</v>
      </c>
      <c r="C27" s="133"/>
      <c r="E27" s="134" t="s">
        <v>99</v>
      </c>
      <c r="F27" s="133">
        <v>10000000</v>
      </c>
      <c r="G27" s="135">
        <v>4.625</v>
      </c>
      <c r="H27" s="136">
        <v>99.822999999999993</v>
      </c>
      <c r="I27" s="137">
        <v>45247</v>
      </c>
      <c r="J27" s="134" t="s">
        <v>100</v>
      </c>
      <c r="L27" s="139">
        <f>14033320/140000</f>
        <v>100.238</v>
      </c>
      <c r="M27" s="133">
        <f>SUM(L27*F27)/100</f>
        <v>10023800</v>
      </c>
      <c r="N27" s="25"/>
    </row>
    <row r="28" spans="2:14" ht="15.5" x14ac:dyDescent="0.35">
      <c r="B28" s="138">
        <v>46343</v>
      </c>
      <c r="C28" s="133"/>
      <c r="E28" s="134" t="s">
        <v>101</v>
      </c>
      <c r="F28" s="133">
        <v>4000000</v>
      </c>
      <c r="G28" s="135">
        <v>4.625</v>
      </c>
      <c r="H28" s="136">
        <v>99.822999999999993</v>
      </c>
      <c r="I28" s="137">
        <v>45247</v>
      </c>
      <c r="J28" s="134" t="s">
        <v>100</v>
      </c>
      <c r="L28" s="139">
        <f>14033320/140000</f>
        <v>100.238</v>
      </c>
      <c r="M28" s="133">
        <f>SUM(L28*F28)/100</f>
        <v>4009520</v>
      </c>
      <c r="N28" s="25"/>
    </row>
    <row r="29" spans="2:14" ht="15.5" x14ac:dyDescent="0.35">
      <c r="B29" s="138">
        <v>46371</v>
      </c>
      <c r="C29" s="133"/>
      <c r="E29" s="134" t="s">
        <v>92</v>
      </c>
      <c r="F29" s="133">
        <v>10000000</v>
      </c>
      <c r="G29" s="135">
        <v>4.375</v>
      </c>
      <c r="H29" s="136">
        <v>100.76171875</v>
      </c>
      <c r="I29" s="137">
        <v>45281</v>
      </c>
      <c r="J29" s="134" t="s">
        <v>93</v>
      </c>
      <c r="L29" s="139">
        <f>10023200/100000</f>
        <v>100.232</v>
      </c>
      <c r="M29" s="133">
        <f t="shared" si="0"/>
        <v>10023200</v>
      </c>
      <c r="N29" s="25"/>
    </row>
    <row r="30" spans="2:14" ht="15.5" x14ac:dyDescent="0.35">
      <c r="B30" s="138">
        <v>46387</v>
      </c>
      <c r="C30" s="133" t="s">
        <v>21</v>
      </c>
      <c r="E30" s="134" t="s">
        <v>92</v>
      </c>
      <c r="F30" s="133">
        <v>9000000</v>
      </c>
      <c r="G30" s="135">
        <v>1.75</v>
      </c>
      <c r="H30" s="136">
        <v>92.92578125</v>
      </c>
      <c r="I30" s="137">
        <v>45387</v>
      </c>
      <c r="J30" s="134" t="s">
        <v>94</v>
      </c>
      <c r="L30" s="133">
        <f>8902620/90000</f>
        <v>98.918000000000006</v>
      </c>
      <c r="M30" s="133">
        <f t="shared" si="0"/>
        <v>8902620</v>
      </c>
      <c r="N30" s="25"/>
    </row>
    <row r="31" spans="2:14" ht="15.5" x14ac:dyDescent="0.35">
      <c r="B31" s="138">
        <v>46433</v>
      </c>
      <c r="C31" s="133"/>
      <c r="E31" s="134" t="s">
        <v>92</v>
      </c>
      <c r="F31" s="133">
        <v>11500000</v>
      </c>
      <c r="G31" s="135">
        <v>4.125</v>
      </c>
      <c r="H31" s="136">
        <v>99.53515625</v>
      </c>
      <c r="I31" s="137">
        <v>45362</v>
      </c>
      <c r="J31" s="134" t="s">
        <v>100</v>
      </c>
      <c r="L31" s="133">
        <f>11506670/115000</f>
        <v>100.05800000000001</v>
      </c>
      <c r="M31" s="133">
        <f t="shared" si="0"/>
        <v>11506670</v>
      </c>
      <c r="N31" s="25"/>
    </row>
    <row r="32" spans="2:14" ht="15.5" x14ac:dyDescent="0.35">
      <c r="B32" s="138">
        <v>46477</v>
      </c>
      <c r="C32" s="133"/>
      <c r="E32" s="134" t="s">
        <v>92</v>
      </c>
      <c r="F32" s="133">
        <v>13800000</v>
      </c>
      <c r="G32" s="135">
        <v>2.5</v>
      </c>
      <c r="H32" s="136">
        <v>94.70703125</v>
      </c>
      <c r="I32" s="137">
        <v>45450</v>
      </c>
      <c r="J32" s="134" t="s">
        <v>102</v>
      </c>
      <c r="L32" s="133">
        <f>13646958/138000</f>
        <v>98.891000000000005</v>
      </c>
      <c r="M32" s="133">
        <f t="shared" si="0"/>
        <v>13646958</v>
      </c>
      <c r="N32" s="25"/>
    </row>
    <row r="33" spans="2:16" ht="15.5" x14ac:dyDescent="0.35">
      <c r="B33" s="138">
        <v>46492</v>
      </c>
      <c r="C33" s="133"/>
      <c r="E33" s="134" t="s">
        <v>92</v>
      </c>
      <c r="F33" s="133">
        <v>10000000</v>
      </c>
      <c r="G33" s="135">
        <v>4.5</v>
      </c>
      <c r="H33" s="136">
        <v>99.99609375</v>
      </c>
      <c r="I33" s="137">
        <v>45478</v>
      </c>
      <c r="J33" s="134" t="s">
        <v>103</v>
      </c>
      <c r="L33" s="133">
        <f>10036200/100000</f>
        <v>100.36199999999999</v>
      </c>
      <c r="M33" s="133">
        <f t="shared" si="0"/>
        <v>10036200</v>
      </c>
      <c r="N33" s="25"/>
    </row>
    <row r="34" spans="2:16" ht="15.5" x14ac:dyDescent="0.35">
      <c r="B34" s="138">
        <v>46538</v>
      </c>
      <c r="C34" s="133"/>
      <c r="E34" s="134" t="s">
        <v>92</v>
      </c>
      <c r="F34" s="133">
        <v>5000000</v>
      </c>
      <c r="G34" s="135">
        <v>2.625</v>
      </c>
      <c r="H34" s="136">
        <v>97.58203125</v>
      </c>
      <c r="I34" s="137">
        <v>45545</v>
      </c>
      <c r="J34" s="134" t="s">
        <v>102</v>
      </c>
      <c r="L34" s="133">
        <f>4933850/50000</f>
        <v>98.677000000000007</v>
      </c>
      <c r="M34" s="133">
        <f t="shared" si="0"/>
        <v>4933850.0000000009</v>
      </c>
      <c r="N34" s="25"/>
    </row>
    <row r="35" spans="2:16" ht="15.5" x14ac:dyDescent="0.35">
      <c r="B35" s="138">
        <v>46583</v>
      </c>
      <c r="C35" s="133"/>
      <c r="E35" s="134" t="s">
        <v>92</v>
      </c>
      <c r="F35" s="133">
        <f>15000000-2000000</f>
        <v>13000000</v>
      </c>
      <c r="G35" s="135">
        <v>4.375</v>
      </c>
      <c r="H35" s="136">
        <v>101.85546875</v>
      </c>
      <c r="I35" s="137">
        <v>45509</v>
      </c>
      <c r="J35" s="134" t="s">
        <v>102</v>
      </c>
      <c r="L35" s="133">
        <f>13032500/130000</f>
        <v>100.25</v>
      </c>
      <c r="M35" s="133">
        <f t="shared" si="0"/>
        <v>13032500</v>
      </c>
      <c r="N35" s="25"/>
    </row>
    <row r="36" spans="2:16" ht="15.5" x14ac:dyDescent="0.35">
      <c r="B36" s="138">
        <v>46843</v>
      </c>
      <c r="C36" s="133"/>
      <c r="E36" s="134" t="s">
        <v>92</v>
      </c>
      <c r="F36" s="133">
        <v>6625000</v>
      </c>
      <c r="G36" s="135">
        <v>3.625</v>
      </c>
      <c r="H36" s="136">
        <v>99.484375</v>
      </c>
      <c r="I36" s="137">
        <v>45813</v>
      </c>
      <c r="J36" s="134" t="s">
        <v>100</v>
      </c>
      <c r="L36" s="133">
        <f>6564447.5/66250</f>
        <v>99.085999999999999</v>
      </c>
      <c r="M36" s="133">
        <f t="shared" si="0"/>
        <v>6564447.5</v>
      </c>
      <c r="N36" s="25"/>
    </row>
    <row r="37" spans="2:16" ht="15.5" x14ac:dyDescent="0.35">
      <c r="B37" s="138">
        <v>46978</v>
      </c>
      <c r="C37" s="133"/>
      <c r="E37" s="134" t="s">
        <v>104</v>
      </c>
      <c r="F37" s="133">
        <v>5800000</v>
      </c>
      <c r="G37" s="135">
        <v>4.05</v>
      </c>
      <c r="H37" s="136">
        <v>100.59</v>
      </c>
      <c r="I37" s="137">
        <v>45967</v>
      </c>
      <c r="J37" s="134" t="s">
        <v>105</v>
      </c>
      <c r="L37" s="133">
        <f>5773842/58000</f>
        <v>99.549000000000007</v>
      </c>
      <c r="M37" s="133">
        <f t="shared" si="0"/>
        <v>5773842</v>
      </c>
      <c r="N37" s="25"/>
    </row>
    <row r="38" spans="2:16" ht="15.5" x14ac:dyDescent="0.35">
      <c r="B38" s="138">
        <v>47077</v>
      </c>
      <c r="C38" s="133"/>
      <c r="E38" s="134" t="s">
        <v>106</v>
      </c>
      <c r="F38" s="133">
        <v>5000000</v>
      </c>
      <c r="G38" s="135">
        <v>3.9</v>
      </c>
      <c r="H38" s="136">
        <v>100.232</v>
      </c>
      <c r="I38" s="137">
        <v>45981</v>
      </c>
      <c r="J38" s="134" t="s">
        <v>98</v>
      </c>
      <c r="L38" s="133">
        <f>4947350/50000</f>
        <v>98.947000000000003</v>
      </c>
      <c r="M38" s="133">
        <f>SUM(L38*F38)/100</f>
        <v>4947350</v>
      </c>
      <c r="N38" s="25"/>
    </row>
    <row r="39" spans="2:16" ht="15.5" x14ac:dyDescent="0.35">
      <c r="B39" s="138">
        <v>47118</v>
      </c>
      <c r="C39" s="133"/>
      <c r="E39" s="134" t="s">
        <v>92</v>
      </c>
      <c r="F39" s="133">
        <f>4000000-1000000</f>
        <v>3000000</v>
      </c>
      <c r="G39" s="135">
        <v>3.75</v>
      </c>
      <c r="H39" s="136">
        <v>99.88671875</v>
      </c>
      <c r="I39" s="137">
        <v>45840</v>
      </c>
      <c r="J39" s="134" t="s">
        <v>100</v>
      </c>
      <c r="L39" s="133">
        <f>2970240/30000</f>
        <v>99.007999999999996</v>
      </c>
      <c r="M39" s="133">
        <f t="shared" si="0"/>
        <v>2970240</v>
      </c>
      <c r="N39" s="25"/>
    </row>
    <row r="40" spans="2:16" ht="15.5" x14ac:dyDescent="0.35">
      <c r="B40" s="138">
        <v>47164</v>
      </c>
      <c r="C40" s="133"/>
      <c r="E40" s="134" t="s">
        <v>107</v>
      </c>
      <c r="F40" s="133">
        <v>6000000</v>
      </c>
      <c r="G40" s="135">
        <v>3.7</v>
      </c>
      <c r="H40" s="136">
        <v>99.984999999999999</v>
      </c>
      <c r="I40" s="137">
        <v>46072</v>
      </c>
      <c r="J40" s="134" t="s">
        <v>108</v>
      </c>
      <c r="L40" s="133">
        <f>5902620/60000</f>
        <v>98.376999999999995</v>
      </c>
      <c r="M40" s="133">
        <f t="shared" si="0"/>
        <v>5902620</v>
      </c>
      <c r="N40" s="25"/>
    </row>
    <row r="41" spans="2:16" ht="15.5" x14ac:dyDescent="0.35">
      <c r="B41" s="138">
        <v>47483</v>
      </c>
      <c r="C41" s="133"/>
      <c r="E41" s="134" t="s">
        <v>92</v>
      </c>
      <c r="F41" s="133">
        <v>10500000</v>
      </c>
      <c r="G41" s="135">
        <v>4.375</v>
      </c>
      <c r="H41" s="136">
        <v>99.80078125</v>
      </c>
      <c r="I41" s="137">
        <v>45664</v>
      </c>
      <c r="J41" s="134" t="s">
        <v>102</v>
      </c>
      <c r="L41" s="133">
        <f>10567725/105000</f>
        <v>100.645</v>
      </c>
      <c r="M41" s="133">
        <f t="shared" si="0"/>
        <v>10567725</v>
      </c>
      <c r="N41" s="25"/>
    </row>
    <row r="42" spans="2:16" ht="15.5" x14ac:dyDescent="0.35">
      <c r="B42" s="138">
        <v>11004</v>
      </c>
      <c r="C42" s="133"/>
      <c r="E42" s="134" t="s">
        <v>92</v>
      </c>
      <c r="F42" s="133">
        <v>8000000</v>
      </c>
      <c r="G42" s="135">
        <v>1.5</v>
      </c>
      <c r="H42" s="136">
        <v>88.81640625</v>
      </c>
      <c r="I42" s="137">
        <v>45721</v>
      </c>
      <c r="J42" s="134" t="s">
        <v>100</v>
      </c>
      <c r="L42" s="133">
        <f>7288160/80000</f>
        <v>91.102000000000004</v>
      </c>
      <c r="M42" s="133">
        <f t="shared" si="0"/>
        <v>7288160</v>
      </c>
      <c r="N42" s="25"/>
    </row>
    <row r="43" spans="2:16" ht="15.5" x14ac:dyDescent="0.35">
      <c r="B43" s="138">
        <v>11323</v>
      </c>
      <c r="C43" s="140"/>
      <c r="E43" s="134" t="s">
        <v>92</v>
      </c>
      <c r="F43" s="140">
        <f>25000000-2000000</f>
        <v>23000000</v>
      </c>
      <c r="G43" s="135">
        <v>3.625</v>
      </c>
      <c r="H43" s="136">
        <v>99.69921875</v>
      </c>
      <c r="I43" s="137">
        <v>46030</v>
      </c>
      <c r="J43" s="134" t="s">
        <v>103</v>
      </c>
      <c r="L43" s="133">
        <f>22458350/230000</f>
        <v>97.644999999999996</v>
      </c>
      <c r="M43" s="140">
        <f t="shared" si="0"/>
        <v>22458350</v>
      </c>
      <c r="N43" s="25"/>
    </row>
    <row r="44" spans="2:16" ht="15.5" x14ac:dyDescent="0.35">
      <c r="B44" s="132"/>
      <c r="C44" s="133"/>
      <c r="E44" s="134"/>
      <c r="F44" s="133"/>
      <c r="H44" s="136"/>
      <c r="I44" s="137"/>
      <c r="J44" s="141"/>
      <c r="L44" s="139"/>
      <c r="M44" s="133"/>
    </row>
    <row r="45" spans="2:16" ht="16" thickBot="1" x14ac:dyDescent="0.4">
      <c r="B45" s="142" t="s">
        <v>109</v>
      </c>
      <c r="C45" s="143">
        <f>SUM(C14:C43)</f>
        <v>580374239.24000001</v>
      </c>
      <c r="E45" s="134" t="s">
        <v>21</v>
      </c>
      <c r="F45" s="143">
        <f>SUM(F14:F43)</f>
        <v>771134239.24000001</v>
      </c>
      <c r="H45" s="136"/>
      <c r="I45" s="137"/>
      <c r="J45" s="141"/>
      <c r="L45" s="139"/>
      <c r="M45" s="143">
        <f>SUM(M14:M43)</f>
        <v>769495090.69000006</v>
      </c>
      <c r="N45" s="25"/>
      <c r="O45" s="25"/>
      <c r="P45" s="25"/>
    </row>
    <row r="46" spans="2:16" ht="16" thickTop="1" x14ac:dyDescent="0.35">
      <c r="B46" s="113" t="s">
        <v>21</v>
      </c>
      <c r="C46" s="133" t="s">
        <v>21</v>
      </c>
      <c r="E46" s="144" t="s">
        <v>21</v>
      </c>
      <c r="F46" s="145"/>
      <c r="H46" s="136"/>
      <c r="I46" s="137"/>
      <c r="J46" s="141"/>
      <c r="L46" s="139"/>
      <c r="M46" s="133"/>
    </row>
    <row r="47" spans="2:16" ht="15.5" x14ac:dyDescent="0.35">
      <c r="B47" s="146"/>
      <c r="C47" s="133" t="s">
        <v>21</v>
      </c>
      <c r="F47" s="133"/>
      <c r="G47" s="133"/>
      <c r="H47" s="133"/>
      <c r="I47" s="147"/>
      <c r="J47" s="32"/>
      <c r="L47" s="139"/>
      <c r="M47" s="133" t="s">
        <v>21</v>
      </c>
    </row>
    <row r="48" spans="2:16" ht="15.5" x14ac:dyDescent="0.35">
      <c r="B48" s="148" t="s">
        <v>110</v>
      </c>
      <c r="C48" s="133"/>
      <c r="E48" s="149"/>
      <c r="F48" s="133"/>
      <c r="G48" s="133"/>
      <c r="H48" s="32"/>
      <c r="I48" s="137"/>
      <c r="J48" s="32"/>
      <c r="L48" s="139"/>
      <c r="M48" s="133" t="s">
        <v>21</v>
      </c>
    </row>
    <row r="49" spans="1:16" ht="15.5" x14ac:dyDescent="0.35">
      <c r="B49" s="138"/>
      <c r="C49" s="133"/>
      <c r="E49" s="150"/>
      <c r="F49" s="133"/>
      <c r="G49" s="135"/>
      <c r="H49" s="136"/>
      <c r="I49" s="151"/>
      <c r="J49" s="134"/>
      <c r="L49" s="139"/>
      <c r="M49" s="133"/>
    </row>
    <row r="50" spans="1:16" ht="15.5" x14ac:dyDescent="0.35">
      <c r="B50" s="132">
        <v>46204</v>
      </c>
      <c r="C50" s="133">
        <v>0</v>
      </c>
      <c r="E50" s="134" t="str">
        <f>+E14</f>
        <v>CSAFE FIMD SF8888734</v>
      </c>
      <c r="F50" s="133">
        <v>0</v>
      </c>
      <c r="G50" s="135">
        <v>3.7</v>
      </c>
      <c r="H50" s="136">
        <v>100</v>
      </c>
      <c r="I50" s="152">
        <v>41817</v>
      </c>
      <c r="J50" s="134" t="s">
        <v>84</v>
      </c>
      <c r="L50" s="139">
        <v>100</v>
      </c>
      <c r="M50" s="133">
        <f t="shared" ref="M50:M53" si="1">SUM(L50*F50)/100</f>
        <v>0</v>
      </c>
    </row>
    <row r="51" spans="1:16" ht="15.5" x14ac:dyDescent="0.35">
      <c r="B51" s="132">
        <v>46204</v>
      </c>
      <c r="C51" s="133">
        <v>2426193.13</v>
      </c>
      <c r="E51" s="134" t="s">
        <v>111</v>
      </c>
      <c r="F51" s="133">
        <v>2426193.13</v>
      </c>
      <c r="G51" s="135">
        <v>3.72</v>
      </c>
      <c r="H51" s="136">
        <v>100</v>
      </c>
      <c r="I51" s="152">
        <v>40814</v>
      </c>
      <c r="J51" s="134" t="s">
        <v>112</v>
      </c>
      <c r="L51" s="139">
        <v>100</v>
      </c>
      <c r="M51" s="133">
        <f t="shared" si="1"/>
        <v>2426193.13</v>
      </c>
    </row>
    <row r="52" spans="1:16" ht="15.5" x14ac:dyDescent="0.35">
      <c r="B52" s="132">
        <v>46204</v>
      </c>
      <c r="C52" s="133">
        <v>30164586.829999998</v>
      </c>
      <c r="E52" s="134" t="s">
        <v>113</v>
      </c>
      <c r="F52" s="133">
        <v>30164586.829999998</v>
      </c>
      <c r="G52" s="135">
        <v>3.71</v>
      </c>
      <c r="H52" s="136">
        <v>100</v>
      </c>
      <c r="I52" s="152">
        <v>46150</v>
      </c>
      <c r="J52" s="134" t="s">
        <v>114</v>
      </c>
      <c r="L52" s="139">
        <v>100</v>
      </c>
      <c r="M52" s="133">
        <f t="shared" si="1"/>
        <v>30164586.829999998</v>
      </c>
    </row>
    <row r="53" spans="1:16" ht="15.5" x14ac:dyDescent="0.35">
      <c r="B53" s="132">
        <v>46204</v>
      </c>
      <c r="C53" s="140">
        <v>50282441.689999998</v>
      </c>
      <c r="E53" s="134" t="s">
        <v>115</v>
      </c>
      <c r="F53" s="140">
        <v>50282441.689999998</v>
      </c>
      <c r="G53" s="135">
        <v>3.82</v>
      </c>
      <c r="H53" s="136">
        <v>100</v>
      </c>
      <c r="I53" s="152">
        <v>46150</v>
      </c>
      <c r="J53" s="134" t="s">
        <v>116</v>
      </c>
      <c r="L53" s="139">
        <v>100</v>
      </c>
      <c r="M53" s="140">
        <f t="shared" si="1"/>
        <v>50282441.689999998</v>
      </c>
    </row>
    <row r="54" spans="1:16" ht="15.5" x14ac:dyDescent="0.35">
      <c r="B54" s="138"/>
      <c r="C54" s="133"/>
      <c r="E54" s="153"/>
      <c r="F54" s="133"/>
      <c r="G54" s="135"/>
      <c r="H54" s="136"/>
      <c r="I54" s="151"/>
      <c r="J54" s="134"/>
      <c r="L54" s="139"/>
      <c r="M54" s="133"/>
    </row>
    <row r="55" spans="1:16" ht="15.5" x14ac:dyDescent="0.35">
      <c r="B55" s="138" t="s">
        <v>21</v>
      </c>
      <c r="C55" s="140">
        <f>SUM(C50:C54)</f>
        <v>82873221.649999991</v>
      </c>
      <c r="E55" s="153" t="s">
        <v>21</v>
      </c>
      <c r="F55" s="140">
        <f>SUM(F50:F54)</f>
        <v>82873221.649999991</v>
      </c>
      <c r="G55" s="135"/>
      <c r="H55" s="136"/>
      <c r="I55" s="151"/>
      <c r="J55" s="134"/>
      <c r="L55" s="139"/>
      <c r="M55" s="140">
        <f>SUM(M50:M54)</f>
        <v>82873221.649999991</v>
      </c>
      <c r="N55" s="25"/>
      <c r="O55" s="25"/>
      <c r="P55" s="25"/>
    </row>
    <row r="56" spans="1:16" ht="15.5" x14ac:dyDescent="0.35">
      <c r="B56" s="146"/>
      <c r="C56" s="133"/>
      <c r="F56" s="133"/>
      <c r="G56" s="133" t="s">
        <v>21</v>
      </c>
      <c r="H56" s="32"/>
      <c r="I56" s="154"/>
      <c r="J56" s="32"/>
      <c r="L56" s="139"/>
      <c r="M56" s="133"/>
    </row>
    <row r="57" spans="1:16" ht="16" thickBot="1" x14ac:dyDescent="0.4">
      <c r="B57" s="146" t="s">
        <v>117</v>
      </c>
      <c r="C57" s="143">
        <f>SUM(C56:C56)+C55</f>
        <v>82873221.649999991</v>
      </c>
      <c r="F57" s="143">
        <f>SUM(F56:F56)+F55</f>
        <v>82873221.649999991</v>
      </c>
      <c r="G57" s="133" t="s">
        <v>21</v>
      </c>
      <c r="H57" s="32"/>
      <c r="I57" s="154"/>
      <c r="J57" s="32"/>
      <c r="L57" s="139"/>
      <c r="M57" s="143">
        <f>SUM(M56:M56)+M55</f>
        <v>82873221.649999991</v>
      </c>
      <c r="N57" s="25"/>
    </row>
    <row r="58" spans="1:16" ht="16" thickTop="1" x14ac:dyDescent="0.35">
      <c r="B58" s="146"/>
      <c r="C58" s="133" t="s">
        <v>21</v>
      </c>
      <c r="F58" s="133"/>
      <c r="G58" s="32"/>
      <c r="H58" s="32"/>
      <c r="I58" s="154"/>
      <c r="J58" s="32"/>
      <c r="L58" s="139"/>
      <c r="M58" s="133" t="s">
        <v>21</v>
      </c>
    </row>
    <row r="59" spans="1:16" ht="15.5" x14ac:dyDescent="0.35">
      <c r="B59" s="146"/>
      <c r="C59" s="133"/>
      <c r="F59" s="133"/>
      <c r="G59" s="133"/>
      <c r="H59" s="133"/>
      <c r="I59" s="154"/>
      <c r="J59" s="32"/>
      <c r="L59" s="139"/>
      <c r="M59" s="133" t="s">
        <v>21</v>
      </c>
      <c r="N59" s="133"/>
    </row>
    <row r="60" spans="1:16" ht="15.5" x14ac:dyDescent="0.35">
      <c r="B60" s="148" t="s">
        <v>118</v>
      </c>
      <c r="C60" s="133"/>
      <c r="F60" s="133"/>
      <c r="G60" s="32"/>
      <c r="H60" s="32"/>
      <c r="I60" s="154"/>
      <c r="J60" s="32"/>
      <c r="L60" s="139"/>
      <c r="M60" s="133"/>
      <c r="N60" s="25"/>
    </row>
    <row r="61" spans="1:16" ht="15.5" x14ac:dyDescent="0.35">
      <c r="B61" s="146"/>
      <c r="C61" s="133"/>
      <c r="E61" s="155" t="s">
        <v>21</v>
      </c>
      <c r="F61" s="133" t="s">
        <v>21</v>
      </c>
      <c r="G61" s="32"/>
      <c r="H61" s="32"/>
      <c r="I61" s="154"/>
      <c r="J61" s="32"/>
      <c r="L61" s="139"/>
      <c r="M61" s="133"/>
      <c r="N61" s="25"/>
    </row>
    <row r="62" spans="1:16" ht="15.5" x14ac:dyDescent="0.35">
      <c r="A62" s="156" t="s">
        <v>119</v>
      </c>
      <c r="B62" s="138">
        <v>46204</v>
      </c>
      <c r="C62" s="157">
        <v>485892.4</v>
      </c>
      <c r="E62" s="150" t="str">
        <f>+E50</f>
        <v>CSAFE FIMD SF8888734</v>
      </c>
      <c r="F62" s="157">
        <v>485892.4</v>
      </c>
      <c r="G62" s="135">
        <v>3.71</v>
      </c>
      <c r="H62" s="136">
        <v>100</v>
      </c>
      <c r="I62" s="158">
        <v>40954</v>
      </c>
      <c r="J62" s="134" t="s">
        <v>120</v>
      </c>
      <c r="K62" s="2" t="s">
        <v>21</v>
      </c>
      <c r="L62" s="139">
        <v>100</v>
      </c>
      <c r="M62" s="133">
        <f t="shared" ref="M62:M119" si="2">SUM(L62*F62)/100</f>
        <v>485892.4</v>
      </c>
      <c r="N62" s="25"/>
    </row>
    <row r="63" spans="1:16" ht="15.5" x14ac:dyDescent="0.35">
      <c r="A63" s="156"/>
      <c r="B63" s="138">
        <v>46249</v>
      </c>
      <c r="C63" s="157"/>
      <c r="E63" s="150" t="s">
        <v>92</v>
      </c>
      <c r="F63" s="157">
        <f>275000-100000</f>
        <v>175000</v>
      </c>
      <c r="G63" s="135">
        <v>1.5</v>
      </c>
      <c r="H63" s="136">
        <v>91.59375</v>
      </c>
      <c r="I63" s="158">
        <v>44922</v>
      </c>
      <c r="J63" s="134" t="s">
        <v>94</v>
      </c>
      <c r="L63" s="139">
        <f>174480.25/1750</f>
        <v>99.703000000000003</v>
      </c>
      <c r="M63" s="133">
        <f t="shared" si="2"/>
        <v>174480.25</v>
      </c>
      <c r="N63" s="25"/>
    </row>
    <row r="64" spans="1:16" ht="15.5" x14ac:dyDescent="0.35">
      <c r="A64" s="156"/>
      <c r="B64" s="138">
        <v>46265</v>
      </c>
      <c r="C64" s="157"/>
      <c r="E64" s="150" t="s">
        <v>92</v>
      </c>
      <c r="F64" s="157">
        <v>200000</v>
      </c>
      <c r="G64" s="135">
        <v>0.75</v>
      </c>
      <c r="H64" s="136">
        <v>98.0390625</v>
      </c>
      <c r="I64" s="158">
        <v>44498</v>
      </c>
      <c r="J64" s="134" t="s">
        <v>100</v>
      </c>
      <c r="L64" s="139">
        <f>199004/2000</f>
        <v>99.501999999999995</v>
      </c>
      <c r="M64" s="133">
        <f t="shared" si="2"/>
        <v>199004</v>
      </c>
      <c r="N64" s="25"/>
    </row>
    <row r="65" spans="1:14" ht="15.5" x14ac:dyDescent="0.35">
      <c r="A65" s="156"/>
      <c r="B65" s="138">
        <v>46343</v>
      </c>
      <c r="C65" s="157"/>
      <c r="E65" s="150" t="s">
        <v>99</v>
      </c>
      <c r="F65" s="157">
        <v>300000</v>
      </c>
      <c r="G65" s="135">
        <v>4.625</v>
      </c>
      <c r="H65" s="136">
        <v>99.82</v>
      </c>
      <c r="I65" s="158">
        <v>45247</v>
      </c>
      <c r="J65" s="134" t="s">
        <v>100</v>
      </c>
      <c r="L65" s="139">
        <f>300714/3000</f>
        <v>100.238</v>
      </c>
      <c r="M65" s="133">
        <f t="shared" si="2"/>
        <v>300714</v>
      </c>
      <c r="N65" s="25"/>
    </row>
    <row r="66" spans="1:14" ht="15.5" x14ac:dyDescent="0.35">
      <c r="A66" s="156"/>
      <c r="B66" s="138">
        <v>46356</v>
      </c>
      <c r="C66" s="157"/>
      <c r="E66" s="150" t="s">
        <v>92</v>
      </c>
      <c r="F66" s="157">
        <v>225000</v>
      </c>
      <c r="G66" s="135">
        <v>1.25</v>
      </c>
      <c r="H66" s="136">
        <v>97.1796875</v>
      </c>
      <c r="I66" s="158">
        <v>44631</v>
      </c>
      <c r="J66" s="134" t="s">
        <v>94</v>
      </c>
      <c r="L66" s="139">
        <f>222489/2250</f>
        <v>98.884</v>
      </c>
      <c r="M66" s="133">
        <f t="shared" si="2"/>
        <v>222489</v>
      </c>
      <c r="N66" s="25"/>
    </row>
    <row r="67" spans="1:14" ht="15.5" x14ac:dyDescent="0.35">
      <c r="A67" s="156"/>
      <c r="B67" s="138">
        <v>46364</v>
      </c>
      <c r="C67" s="157"/>
      <c r="E67" s="150" t="s">
        <v>121</v>
      </c>
      <c r="F67" s="157">
        <v>250000</v>
      </c>
      <c r="G67" s="135">
        <v>5.1100000000000003</v>
      </c>
      <c r="H67" s="136">
        <v>101.101</v>
      </c>
      <c r="I67" s="158">
        <v>46030</v>
      </c>
      <c r="J67" s="134" t="s">
        <v>108</v>
      </c>
      <c r="L67" s="139">
        <f>250882.5/2500</f>
        <v>100.35299999999999</v>
      </c>
      <c r="M67" s="133">
        <f t="shared" si="2"/>
        <v>250882.5</v>
      </c>
      <c r="N67" s="25"/>
    </row>
    <row r="68" spans="1:14" ht="15.5" x14ac:dyDescent="0.35">
      <c r="A68" s="156"/>
      <c r="B68" s="138">
        <v>46387</v>
      </c>
      <c r="C68" s="157"/>
      <c r="E68" s="150" t="s">
        <v>92</v>
      </c>
      <c r="F68" s="157">
        <v>200000</v>
      </c>
      <c r="G68" s="135">
        <v>1.25</v>
      </c>
      <c r="H68" s="136">
        <v>98.1953125</v>
      </c>
      <c r="I68" s="158">
        <v>44589</v>
      </c>
      <c r="J68" s="134" t="s">
        <v>94</v>
      </c>
      <c r="L68" s="139">
        <f>197350/2000</f>
        <v>98.674999999999997</v>
      </c>
      <c r="M68" s="133">
        <f t="shared" si="2"/>
        <v>197350</v>
      </c>
      <c r="N68" s="25"/>
    </row>
    <row r="69" spans="1:14" ht="15.5" x14ac:dyDescent="0.35">
      <c r="A69" s="156"/>
      <c r="B69" s="138">
        <v>46433</v>
      </c>
      <c r="C69" s="157"/>
      <c r="E69" s="150" t="s">
        <v>122</v>
      </c>
      <c r="F69" s="157">
        <v>200000</v>
      </c>
      <c r="G69" s="135">
        <v>5</v>
      </c>
      <c r="H69" s="136">
        <v>113.619</v>
      </c>
      <c r="I69" s="158">
        <v>44643</v>
      </c>
      <c r="J69" s="134" t="s">
        <v>100</v>
      </c>
      <c r="L69" s="139">
        <f>201100/2000</f>
        <v>100.55</v>
      </c>
      <c r="M69" s="133">
        <f t="shared" si="2"/>
        <v>201100</v>
      </c>
      <c r="N69" s="25"/>
    </row>
    <row r="70" spans="1:14" ht="15.5" x14ac:dyDescent="0.35">
      <c r="A70" s="156"/>
      <c r="B70" s="138">
        <v>46433</v>
      </c>
      <c r="C70" s="157"/>
      <c r="E70" s="150" t="s">
        <v>92</v>
      </c>
      <c r="F70" s="157">
        <v>600000</v>
      </c>
      <c r="G70" s="135">
        <v>4.125</v>
      </c>
      <c r="H70" s="136">
        <v>100.63671875</v>
      </c>
      <c r="I70" s="158">
        <v>45782</v>
      </c>
      <c r="J70" s="134" t="s">
        <v>100</v>
      </c>
      <c r="L70" s="139">
        <f>600348/6000</f>
        <v>100.05800000000001</v>
      </c>
      <c r="M70" s="133">
        <f t="shared" si="2"/>
        <v>600348.00000000012</v>
      </c>
      <c r="N70" s="25"/>
    </row>
    <row r="71" spans="1:14" ht="15.5" x14ac:dyDescent="0.35">
      <c r="A71" s="156"/>
      <c r="B71" s="138">
        <v>46447</v>
      </c>
      <c r="C71" s="157"/>
      <c r="E71" s="150" t="s">
        <v>123</v>
      </c>
      <c r="F71" s="157">
        <v>175000</v>
      </c>
      <c r="G71" s="135">
        <v>4.8460000000000001</v>
      </c>
      <c r="H71" s="136">
        <v>100</v>
      </c>
      <c r="I71" s="158">
        <v>45000</v>
      </c>
      <c r="J71" s="134" t="s">
        <v>100</v>
      </c>
      <c r="L71" s="139">
        <f>175761.25/1750</f>
        <v>100.435</v>
      </c>
      <c r="M71" s="133">
        <f t="shared" si="2"/>
        <v>175761.25</v>
      </c>
      <c r="N71" s="25"/>
    </row>
    <row r="72" spans="1:14" ht="15.5" x14ac:dyDescent="0.35">
      <c r="A72" s="156"/>
      <c r="B72" s="138">
        <v>46477</v>
      </c>
      <c r="C72" s="157"/>
      <c r="E72" s="150" t="s">
        <v>92</v>
      </c>
      <c r="F72" s="157">
        <v>150000</v>
      </c>
      <c r="G72" s="135">
        <v>2.5</v>
      </c>
      <c r="H72" s="136">
        <v>95.58203125</v>
      </c>
      <c r="I72" s="158">
        <v>44952</v>
      </c>
      <c r="J72" s="134" t="s">
        <v>124</v>
      </c>
      <c r="L72" s="139">
        <f>148336.5/1500</f>
        <v>98.891000000000005</v>
      </c>
      <c r="M72" s="133">
        <f t="shared" si="2"/>
        <v>148336.5</v>
      </c>
      <c r="N72" s="25"/>
    </row>
    <row r="73" spans="1:14" ht="15.5" x14ac:dyDescent="0.35">
      <c r="A73" s="156"/>
      <c r="B73" s="138">
        <v>46522</v>
      </c>
      <c r="C73" s="157"/>
      <c r="E73" s="150" t="s">
        <v>125</v>
      </c>
      <c r="F73" s="157">
        <v>55000</v>
      </c>
      <c r="G73" s="135">
        <v>5.05</v>
      </c>
      <c r="H73" s="136">
        <v>101.92</v>
      </c>
      <c r="I73" s="158">
        <v>45099</v>
      </c>
      <c r="J73" s="134" t="s">
        <v>95</v>
      </c>
      <c r="L73" s="139">
        <f>55404.25/550</f>
        <v>100.735</v>
      </c>
      <c r="M73" s="133">
        <f t="shared" si="2"/>
        <v>55404.25</v>
      </c>
      <c r="N73" s="25"/>
    </row>
    <row r="74" spans="1:14" ht="15.5" x14ac:dyDescent="0.35">
      <c r="A74" s="156"/>
      <c r="B74" s="138">
        <v>46538</v>
      </c>
      <c r="C74" s="157"/>
      <c r="E74" s="150" t="s">
        <v>92</v>
      </c>
      <c r="F74" s="157">
        <v>200000</v>
      </c>
      <c r="G74" s="135">
        <v>2.625</v>
      </c>
      <c r="H74" s="136">
        <v>97.08203125</v>
      </c>
      <c r="I74" s="158">
        <v>44803</v>
      </c>
      <c r="J74" s="134" t="s">
        <v>95</v>
      </c>
      <c r="L74" s="139">
        <f>197354/2000</f>
        <v>98.677000000000007</v>
      </c>
      <c r="M74" s="133">
        <f t="shared" si="2"/>
        <v>197354</v>
      </c>
      <c r="N74" s="25"/>
    </row>
    <row r="75" spans="1:14" ht="15.5" x14ac:dyDescent="0.35">
      <c r="A75" s="156"/>
      <c r="B75" s="138">
        <v>46568</v>
      </c>
      <c r="C75" s="157"/>
      <c r="E75" s="150" t="s">
        <v>92</v>
      </c>
      <c r="F75" s="157">
        <v>300000</v>
      </c>
      <c r="G75" s="135">
        <v>3.25</v>
      </c>
      <c r="H75" s="136">
        <v>99.765625</v>
      </c>
      <c r="I75" s="158">
        <v>44803</v>
      </c>
      <c r="J75" s="134" t="s">
        <v>126</v>
      </c>
      <c r="L75" s="139">
        <f>297483/3000</f>
        <v>99.161000000000001</v>
      </c>
      <c r="M75" s="133">
        <f t="shared" si="2"/>
        <v>297483</v>
      </c>
      <c r="N75" s="25"/>
    </row>
    <row r="76" spans="1:14" ht="15.5" x14ac:dyDescent="0.35">
      <c r="A76" s="156"/>
      <c r="B76" s="138">
        <v>46569</v>
      </c>
      <c r="C76" s="157"/>
      <c r="E76" s="150" t="s">
        <v>127</v>
      </c>
      <c r="F76" s="157">
        <v>250000</v>
      </c>
      <c r="G76" s="135">
        <v>4.6500000000000004</v>
      </c>
      <c r="H76" s="136">
        <v>100.285</v>
      </c>
      <c r="I76" s="158">
        <v>45119</v>
      </c>
      <c r="J76" s="134" t="s">
        <v>126</v>
      </c>
      <c r="L76" s="139">
        <f>251605/2500</f>
        <v>100.642</v>
      </c>
      <c r="M76" s="133">
        <f t="shared" si="2"/>
        <v>251605</v>
      </c>
      <c r="N76" s="25"/>
    </row>
    <row r="77" spans="1:14" ht="15.5" x14ac:dyDescent="0.35">
      <c r="A77" s="156"/>
      <c r="B77" s="138">
        <v>46583</v>
      </c>
      <c r="C77" s="157"/>
      <c r="E77" s="150" t="s">
        <v>92</v>
      </c>
      <c r="F77" s="157">
        <v>300000</v>
      </c>
      <c r="G77" s="135">
        <v>4.375</v>
      </c>
      <c r="H77" s="136">
        <v>101.1328125</v>
      </c>
      <c r="I77" s="158">
        <v>45840</v>
      </c>
      <c r="J77" s="134" t="s">
        <v>100</v>
      </c>
      <c r="L77" s="139">
        <f>300750/3000</f>
        <v>100.25</v>
      </c>
      <c r="M77" s="133">
        <f t="shared" si="2"/>
        <v>300750</v>
      </c>
      <c r="N77" s="25"/>
    </row>
    <row r="78" spans="1:14" ht="15.5" x14ac:dyDescent="0.35">
      <c r="A78" s="156"/>
      <c r="B78" s="138">
        <v>46599</v>
      </c>
      <c r="C78" s="157"/>
      <c r="E78" s="150" t="s">
        <v>92</v>
      </c>
      <c r="F78" s="157">
        <v>200000</v>
      </c>
      <c r="G78" s="135">
        <v>2.75</v>
      </c>
      <c r="H78" s="136">
        <v>95.1796875</v>
      </c>
      <c r="I78" s="158">
        <v>44922</v>
      </c>
      <c r="J78" s="134" t="s">
        <v>94</v>
      </c>
      <c r="L78" s="139">
        <f>197070/2000</f>
        <v>98.534999999999997</v>
      </c>
      <c r="M78" s="133">
        <f t="shared" si="2"/>
        <v>197070</v>
      </c>
      <c r="N78" s="25"/>
    </row>
    <row r="79" spans="1:14" ht="15.5" x14ac:dyDescent="0.35">
      <c r="A79" s="156"/>
      <c r="B79" s="138">
        <v>46614</v>
      </c>
      <c r="C79" s="157"/>
      <c r="E79" s="150" t="s">
        <v>92</v>
      </c>
      <c r="F79" s="157">
        <v>175000</v>
      </c>
      <c r="G79" s="135">
        <v>2.25</v>
      </c>
      <c r="H79" s="136">
        <v>94.390625</v>
      </c>
      <c r="I79" s="158">
        <v>45049</v>
      </c>
      <c r="J79" s="134" t="s">
        <v>94</v>
      </c>
      <c r="L79" s="139">
        <f>171377.5/1750</f>
        <v>97.93</v>
      </c>
      <c r="M79" s="133">
        <f t="shared" si="2"/>
        <v>171377.5</v>
      </c>
      <c r="N79" s="25"/>
    </row>
    <row r="80" spans="1:14" ht="15.5" x14ac:dyDescent="0.35">
      <c r="A80" s="156"/>
      <c r="B80" s="138">
        <v>46630</v>
      </c>
      <c r="C80" s="157"/>
      <c r="E80" s="150" t="s">
        <v>92</v>
      </c>
      <c r="F80" s="157">
        <v>325000</v>
      </c>
      <c r="G80" s="135">
        <v>0.5</v>
      </c>
      <c r="H80" s="136">
        <v>85.140625</v>
      </c>
      <c r="I80" s="158">
        <v>44894</v>
      </c>
      <c r="J80" s="134" t="s">
        <v>94</v>
      </c>
      <c r="L80" s="139">
        <f>311645.75/3250</f>
        <v>95.891000000000005</v>
      </c>
      <c r="M80" s="133">
        <f t="shared" si="2"/>
        <v>311645.75</v>
      </c>
      <c r="N80" s="25"/>
    </row>
    <row r="81" spans="1:14" ht="15.5" x14ac:dyDescent="0.35">
      <c r="A81" s="156"/>
      <c r="B81" s="138">
        <v>46630</v>
      </c>
      <c r="C81" s="157"/>
      <c r="E81" s="150" t="s">
        <v>92</v>
      </c>
      <c r="F81" s="157">
        <v>275000</v>
      </c>
      <c r="G81" s="135">
        <v>3.125</v>
      </c>
      <c r="H81" s="136">
        <v>96.796875</v>
      </c>
      <c r="I81" s="158">
        <v>44922</v>
      </c>
      <c r="J81" s="134" t="s">
        <v>94</v>
      </c>
      <c r="L81" s="139">
        <f>271862.25/2750</f>
        <v>98.858999999999995</v>
      </c>
      <c r="M81" s="133">
        <f t="shared" si="2"/>
        <v>271862.25</v>
      </c>
      <c r="N81" s="25"/>
    </row>
    <row r="82" spans="1:14" ht="15.5" x14ac:dyDescent="0.35">
      <c r="A82" s="156"/>
      <c r="B82" s="138">
        <v>46645</v>
      </c>
      <c r="C82" s="157"/>
      <c r="E82" s="150" t="s">
        <v>92</v>
      </c>
      <c r="F82" s="157">
        <v>375000</v>
      </c>
      <c r="G82" s="135">
        <v>3.375</v>
      </c>
      <c r="H82" s="136">
        <v>99.32421875</v>
      </c>
      <c r="I82" s="158">
        <v>45782</v>
      </c>
      <c r="J82" s="134" t="s">
        <v>100</v>
      </c>
      <c r="L82" s="139">
        <f>371602.5/3750</f>
        <v>99.093999999999994</v>
      </c>
      <c r="M82" s="133">
        <f t="shared" si="2"/>
        <v>371602.5</v>
      </c>
      <c r="N82" s="25"/>
    </row>
    <row r="83" spans="1:14" ht="15.5" x14ac:dyDescent="0.35">
      <c r="A83" s="156"/>
      <c r="B83" s="138">
        <v>46660</v>
      </c>
      <c r="C83" s="157"/>
      <c r="E83" s="150" t="s">
        <v>92</v>
      </c>
      <c r="F83" s="157">
        <v>325000</v>
      </c>
      <c r="G83" s="135">
        <v>0.375</v>
      </c>
      <c r="H83" s="136">
        <v>84.5078125</v>
      </c>
      <c r="I83" s="158">
        <v>44894</v>
      </c>
      <c r="J83" s="134" t="s">
        <v>128</v>
      </c>
      <c r="L83" s="139">
        <f>310235.25/3250</f>
        <v>95.456999999999994</v>
      </c>
      <c r="M83" s="133">
        <f t="shared" si="2"/>
        <v>310235.24999999994</v>
      </c>
      <c r="N83" s="25"/>
    </row>
    <row r="84" spans="1:14" ht="15.5" x14ac:dyDescent="0.35">
      <c r="A84" s="156"/>
      <c r="B84" s="138">
        <v>46783</v>
      </c>
      <c r="C84" s="157"/>
      <c r="E84" s="150" t="s">
        <v>92</v>
      </c>
      <c r="F84" s="157">
        <v>175000</v>
      </c>
      <c r="G84" s="135">
        <v>0.75</v>
      </c>
      <c r="H84" s="136">
        <v>85.6171875</v>
      </c>
      <c r="I84" s="158">
        <v>44999</v>
      </c>
      <c r="J84" s="134" t="s">
        <v>128</v>
      </c>
      <c r="L84" s="139">
        <f>165901.75/1750</f>
        <v>94.801000000000002</v>
      </c>
      <c r="M84" s="133">
        <f t="shared" si="2"/>
        <v>165901.75</v>
      </c>
      <c r="N84" s="25"/>
    </row>
    <row r="85" spans="1:14" ht="15.5" x14ac:dyDescent="0.35">
      <c r="A85" s="156"/>
      <c r="B85" s="138">
        <v>46783</v>
      </c>
      <c r="C85" s="157"/>
      <c r="E85" s="150" t="s">
        <v>92</v>
      </c>
      <c r="F85" s="157">
        <v>150000</v>
      </c>
      <c r="G85" s="135">
        <v>3.5</v>
      </c>
      <c r="H85" s="136">
        <v>99.21875</v>
      </c>
      <c r="I85" s="158">
        <v>45049</v>
      </c>
      <c r="J85" s="134" t="s">
        <v>129</v>
      </c>
      <c r="L85" s="139">
        <f>148453.5/1500</f>
        <v>98.968999999999994</v>
      </c>
      <c r="M85" s="133">
        <f t="shared" si="2"/>
        <v>148453.5</v>
      </c>
      <c r="N85" s="25"/>
    </row>
    <row r="86" spans="1:14" ht="15.5" x14ac:dyDescent="0.35">
      <c r="A86" s="156"/>
      <c r="B86" s="138">
        <v>46798</v>
      </c>
      <c r="C86" s="157"/>
      <c r="E86" s="150" t="s">
        <v>92</v>
      </c>
      <c r="F86" s="157">
        <v>275000</v>
      </c>
      <c r="G86" s="135">
        <v>2.75</v>
      </c>
      <c r="H86" s="136">
        <v>94.33984375</v>
      </c>
      <c r="I86" s="158">
        <v>44999</v>
      </c>
      <c r="J86" s="134" t="s">
        <v>94</v>
      </c>
      <c r="L86" s="139">
        <f>268919.75/2750</f>
        <v>97.789000000000001</v>
      </c>
      <c r="M86" s="133">
        <f t="shared" si="2"/>
        <v>268919.75</v>
      </c>
      <c r="N86" s="25"/>
    </row>
    <row r="87" spans="1:14" ht="15.5" x14ac:dyDescent="0.35">
      <c r="A87" s="156"/>
      <c r="B87" s="138">
        <v>46812</v>
      </c>
      <c r="C87" s="157"/>
      <c r="E87" s="150" t="s">
        <v>92</v>
      </c>
      <c r="F87" s="157">
        <v>150000</v>
      </c>
      <c r="G87" s="135">
        <v>4</v>
      </c>
      <c r="H87" s="136">
        <v>96.74609375</v>
      </c>
      <c r="I87" s="158">
        <v>45204</v>
      </c>
      <c r="J87" s="134" t="s">
        <v>130</v>
      </c>
      <c r="L87" s="139">
        <f>149601/1500</f>
        <v>99.733999999999995</v>
      </c>
      <c r="M87" s="133">
        <f t="shared" si="2"/>
        <v>149601</v>
      </c>
      <c r="N87" s="25"/>
    </row>
    <row r="88" spans="1:14" ht="15.5" x14ac:dyDescent="0.35">
      <c r="A88" s="156"/>
      <c r="B88" s="138">
        <v>46843</v>
      </c>
      <c r="C88" s="157"/>
      <c r="E88" s="150" t="s">
        <v>92</v>
      </c>
      <c r="F88" s="157">
        <v>200000</v>
      </c>
      <c r="G88" s="135">
        <v>3.625</v>
      </c>
      <c r="H88" s="136">
        <v>98.03515625</v>
      </c>
      <c r="I88" s="158">
        <v>45103</v>
      </c>
      <c r="J88" s="134" t="s">
        <v>94</v>
      </c>
      <c r="L88" s="139">
        <f>198172/2000</f>
        <v>99.085999999999999</v>
      </c>
      <c r="M88" s="133">
        <f t="shared" si="2"/>
        <v>198172</v>
      </c>
      <c r="N88" s="25"/>
    </row>
    <row r="89" spans="1:14" ht="15.5" x14ac:dyDescent="0.35">
      <c r="A89" s="156"/>
      <c r="B89" s="138">
        <v>46873</v>
      </c>
      <c r="C89" s="157"/>
      <c r="E89" s="150" t="s">
        <v>92</v>
      </c>
      <c r="F89" s="157">
        <v>200000</v>
      </c>
      <c r="G89" s="135">
        <v>1.25</v>
      </c>
      <c r="H89" s="136">
        <v>87.63671875</v>
      </c>
      <c r="I89" s="158">
        <v>45103</v>
      </c>
      <c r="J89" s="134" t="s">
        <v>129</v>
      </c>
      <c r="L89" s="139">
        <f>189812/2000</f>
        <v>94.906000000000006</v>
      </c>
      <c r="M89" s="133">
        <f t="shared" si="2"/>
        <v>189812</v>
      </c>
      <c r="N89" s="25"/>
    </row>
    <row r="90" spans="1:14" ht="15.5" x14ac:dyDescent="0.35">
      <c r="A90" s="156"/>
      <c r="B90" s="138">
        <v>46873</v>
      </c>
      <c r="C90" s="157"/>
      <c r="E90" s="150" t="s">
        <v>92</v>
      </c>
      <c r="F90" s="157">
        <v>175000</v>
      </c>
      <c r="G90" s="135">
        <v>3.5</v>
      </c>
      <c r="H90" s="136">
        <v>99.5078125</v>
      </c>
      <c r="I90" s="158">
        <v>45049</v>
      </c>
      <c r="J90" s="134" t="s">
        <v>124</v>
      </c>
      <c r="L90" s="139">
        <f>345884/3500</f>
        <v>98.823999999999998</v>
      </c>
      <c r="M90" s="133">
        <f>SUM(L90*F90)/100</f>
        <v>172942</v>
      </c>
      <c r="N90" s="25"/>
    </row>
    <row r="91" spans="1:14" ht="15.5" x14ac:dyDescent="0.35">
      <c r="A91" s="156"/>
      <c r="B91" s="138">
        <v>46873</v>
      </c>
      <c r="C91" s="157"/>
      <c r="E91" s="150" t="s">
        <v>92</v>
      </c>
      <c r="F91" s="157">
        <v>175000</v>
      </c>
      <c r="G91" s="135">
        <v>3.5</v>
      </c>
      <c r="H91" s="136">
        <v>98.83203125</v>
      </c>
      <c r="I91" s="158">
        <v>45812</v>
      </c>
      <c r="J91" s="134" t="s">
        <v>100</v>
      </c>
      <c r="L91" s="139">
        <f>345884/3500</f>
        <v>98.823999999999998</v>
      </c>
      <c r="M91" s="133">
        <f>SUM(L91*F91)/100</f>
        <v>172942</v>
      </c>
      <c r="N91" s="25"/>
    </row>
    <row r="92" spans="1:14" ht="15.5" x14ac:dyDescent="0.35">
      <c r="A92" s="156"/>
      <c r="B92" s="138">
        <v>46934</v>
      </c>
      <c r="C92" s="157"/>
      <c r="E92" s="150" t="s">
        <v>92</v>
      </c>
      <c r="F92" s="157">
        <v>275000</v>
      </c>
      <c r="G92" s="135">
        <v>1.25</v>
      </c>
      <c r="H92" s="136">
        <v>86.7265625</v>
      </c>
      <c r="I92" s="158">
        <v>45168</v>
      </c>
      <c r="J92" s="134" t="s">
        <v>131</v>
      </c>
      <c r="L92" s="139">
        <f>259789.75/2750</f>
        <v>94.468999999999994</v>
      </c>
      <c r="M92" s="133">
        <f t="shared" si="2"/>
        <v>259789.75</v>
      </c>
      <c r="N92" s="25"/>
    </row>
    <row r="93" spans="1:14" ht="15.5" x14ac:dyDescent="0.35">
      <c r="A93" s="156"/>
      <c r="B93" s="138">
        <v>46934</v>
      </c>
      <c r="C93" s="157"/>
      <c r="E93" s="150" t="s">
        <v>92</v>
      </c>
      <c r="F93" s="157">
        <v>150000</v>
      </c>
      <c r="G93" s="135">
        <v>4</v>
      </c>
      <c r="H93" s="136">
        <v>96.59765625</v>
      </c>
      <c r="I93" s="158">
        <v>45204</v>
      </c>
      <c r="J93" s="134" t="s">
        <v>105</v>
      </c>
      <c r="L93" s="139">
        <f>149536.5/1500</f>
        <v>99.691000000000003</v>
      </c>
      <c r="M93" s="133">
        <f t="shared" si="2"/>
        <v>149536.5</v>
      </c>
      <c r="N93" s="25"/>
    </row>
    <row r="94" spans="1:14" ht="15.5" x14ac:dyDescent="0.35">
      <c r="A94" s="156"/>
      <c r="B94" s="138">
        <v>46965</v>
      </c>
      <c r="C94" s="157"/>
      <c r="E94" s="150" t="s">
        <v>92</v>
      </c>
      <c r="F94" s="157">
        <v>150000</v>
      </c>
      <c r="G94" s="135">
        <v>4.125</v>
      </c>
      <c r="H94" s="136">
        <v>99.5078125</v>
      </c>
      <c r="I94" s="158">
        <v>45142</v>
      </c>
      <c r="J94" s="134" t="s">
        <v>94</v>
      </c>
      <c r="L94" s="139">
        <f>149895/1500</f>
        <v>99.93</v>
      </c>
      <c r="M94" s="133">
        <f t="shared" si="2"/>
        <v>149895.00000000003</v>
      </c>
      <c r="N94" s="25"/>
    </row>
    <row r="95" spans="1:14" ht="15.5" x14ac:dyDescent="0.35">
      <c r="A95" s="156"/>
      <c r="B95" s="138">
        <v>46965</v>
      </c>
      <c r="C95" s="157"/>
      <c r="E95" s="150" t="s">
        <v>92</v>
      </c>
      <c r="F95" s="157">
        <v>300000</v>
      </c>
      <c r="G95" s="135">
        <v>1</v>
      </c>
      <c r="H95" s="136">
        <v>83.72265625</v>
      </c>
      <c r="I95" s="158">
        <v>45204</v>
      </c>
      <c r="J95" s="134" t="s">
        <v>94</v>
      </c>
      <c r="L95" s="139">
        <f>281250/3000</f>
        <v>93.75</v>
      </c>
      <c r="M95" s="133">
        <f t="shared" si="2"/>
        <v>281250</v>
      </c>
      <c r="N95" s="25"/>
    </row>
    <row r="96" spans="1:14" ht="15.5" x14ac:dyDescent="0.35">
      <c r="A96" s="156"/>
      <c r="B96" s="138">
        <v>47057</v>
      </c>
      <c r="C96" s="157"/>
      <c r="E96" s="150" t="s">
        <v>92</v>
      </c>
      <c r="F96" s="157">
        <v>225000</v>
      </c>
      <c r="G96" s="135">
        <v>4.875</v>
      </c>
      <c r="H96" s="136">
        <v>101.203125</v>
      </c>
      <c r="I96" s="158">
        <v>45233</v>
      </c>
      <c r="J96" s="134" t="s">
        <v>126</v>
      </c>
      <c r="L96" s="139">
        <f>228462.75/2250</f>
        <v>101.539</v>
      </c>
      <c r="M96" s="133">
        <f t="shared" si="2"/>
        <v>228462.75</v>
      </c>
      <c r="N96" s="25"/>
    </row>
    <row r="97" spans="1:14" ht="15.5" x14ac:dyDescent="0.35">
      <c r="A97" s="156"/>
      <c r="B97" s="138">
        <v>47057</v>
      </c>
      <c r="C97" s="157"/>
      <c r="E97" s="150" t="s">
        <v>92</v>
      </c>
      <c r="F97" s="157">
        <v>400000</v>
      </c>
      <c r="G97" s="135">
        <v>1.375</v>
      </c>
      <c r="H97" s="136">
        <v>87.77734375</v>
      </c>
      <c r="I97" s="158">
        <v>45267</v>
      </c>
      <c r="J97" s="134" t="s">
        <v>103</v>
      </c>
      <c r="L97" s="139">
        <f>375328/4000</f>
        <v>93.831999999999994</v>
      </c>
      <c r="M97" s="133">
        <f>SUM(L97*F97)/100</f>
        <v>375328</v>
      </c>
      <c r="N97" s="25"/>
    </row>
    <row r="98" spans="1:14" ht="15.5" x14ac:dyDescent="0.35">
      <c r="A98" s="156"/>
      <c r="B98" s="138">
        <v>47072</v>
      </c>
      <c r="C98" s="157"/>
      <c r="E98" s="150" t="s">
        <v>92</v>
      </c>
      <c r="F98" s="157">
        <v>400000</v>
      </c>
      <c r="G98" s="135">
        <v>5.25</v>
      </c>
      <c r="H98" s="136">
        <v>104.9140625</v>
      </c>
      <c r="I98" s="158">
        <v>45633</v>
      </c>
      <c r="J98" s="134" t="s">
        <v>94</v>
      </c>
      <c r="L98" s="139">
        <f>409860/4000</f>
        <v>102.465</v>
      </c>
      <c r="M98" s="133">
        <f t="shared" si="2"/>
        <v>409860</v>
      </c>
      <c r="N98" s="25"/>
    </row>
    <row r="99" spans="1:14" ht="15.5" x14ac:dyDescent="0.35">
      <c r="A99" s="156"/>
      <c r="B99" s="138">
        <v>47149</v>
      </c>
      <c r="C99" s="157"/>
      <c r="E99" s="150" t="s">
        <v>92</v>
      </c>
      <c r="F99" s="157">
        <v>300000</v>
      </c>
      <c r="G99" s="135">
        <v>4</v>
      </c>
      <c r="H99" s="136">
        <v>100.87109375</v>
      </c>
      <c r="I99" s="158">
        <v>45323</v>
      </c>
      <c r="J99" s="134" t="s">
        <v>126</v>
      </c>
      <c r="L99" s="139">
        <f>298710/3000</f>
        <v>99.57</v>
      </c>
      <c r="M99" s="133">
        <f t="shared" si="2"/>
        <v>298709.99999999994</v>
      </c>
      <c r="N99" s="25"/>
    </row>
    <row r="100" spans="1:14" ht="15.5" x14ac:dyDescent="0.35">
      <c r="A100" s="156"/>
      <c r="B100" s="138">
        <v>47164</v>
      </c>
      <c r="C100" s="157"/>
      <c r="E100" s="150" t="s">
        <v>92</v>
      </c>
      <c r="F100" s="157">
        <v>250000</v>
      </c>
      <c r="G100" s="135">
        <v>2.625</v>
      </c>
      <c r="H100" s="136">
        <v>93.359375</v>
      </c>
      <c r="I100" s="158">
        <v>45362</v>
      </c>
      <c r="J100" s="134" t="s">
        <v>103</v>
      </c>
      <c r="L100" s="139">
        <f>240487.5/2500</f>
        <v>96.194999999999993</v>
      </c>
      <c r="M100" s="133">
        <f t="shared" si="2"/>
        <v>240487.5</v>
      </c>
      <c r="N100" s="25"/>
    </row>
    <row r="101" spans="1:14" ht="15.5" x14ac:dyDescent="0.35">
      <c r="A101" s="156"/>
      <c r="B101" s="138">
        <v>47177</v>
      </c>
      <c r="C101" s="157"/>
      <c r="E101" s="150" t="s">
        <v>92</v>
      </c>
      <c r="F101" s="157">
        <v>175000</v>
      </c>
      <c r="G101" s="135">
        <v>1.875</v>
      </c>
      <c r="H101" s="136">
        <v>89.234375</v>
      </c>
      <c r="I101" s="158">
        <v>45387</v>
      </c>
      <c r="J101" s="134" t="s">
        <v>98</v>
      </c>
      <c r="L101" s="139">
        <f>164972.5/1750</f>
        <v>94.27</v>
      </c>
      <c r="M101" s="133">
        <f t="shared" si="2"/>
        <v>164972.5</v>
      </c>
      <c r="N101" s="25"/>
    </row>
    <row r="102" spans="1:14" ht="15.5" x14ac:dyDescent="0.35">
      <c r="A102" s="156"/>
      <c r="B102" s="138">
        <v>47208</v>
      </c>
      <c r="C102" s="157"/>
      <c r="E102" s="150" t="s">
        <v>92</v>
      </c>
      <c r="F102" s="157">
        <v>150000</v>
      </c>
      <c r="G102" s="135">
        <v>4.125</v>
      </c>
      <c r="H102" s="136">
        <v>102.0965625</v>
      </c>
      <c r="I102" s="158">
        <v>45509</v>
      </c>
      <c r="J102" s="134" t="s">
        <v>103</v>
      </c>
      <c r="L102" s="139">
        <f>149824.5/1500</f>
        <v>99.882999999999996</v>
      </c>
      <c r="M102" s="133">
        <f t="shared" si="2"/>
        <v>149824.5</v>
      </c>
      <c r="N102" s="25"/>
    </row>
    <row r="103" spans="1:14" ht="15.5" x14ac:dyDescent="0.35">
      <c r="A103" s="156"/>
      <c r="B103" s="138">
        <v>47238</v>
      </c>
      <c r="C103" s="157"/>
      <c r="E103" s="150" t="s">
        <v>92</v>
      </c>
      <c r="F103" s="157">
        <v>130000</v>
      </c>
      <c r="G103" s="135">
        <v>4.625</v>
      </c>
      <c r="H103" s="136">
        <v>99.92578125</v>
      </c>
      <c r="I103" s="158">
        <v>45412</v>
      </c>
      <c r="J103" s="134" t="s">
        <v>128</v>
      </c>
      <c r="L103" s="139">
        <f>131553.5/1300</f>
        <v>101.19499999999999</v>
      </c>
      <c r="M103" s="133">
        <f t="shared" si="2"/>
        <v>131553.5</v>
      </c>
      <c r="N103" s="25"/>
    </row>
    <row r="104" spans="1:14" ht="15.5" x14ac:dyDescent="0.35">
      <c r="A104" s="156"/>
      <c r="B104" s="138">
        <v>47238</v>
      </c>
      <c r="C104" s="157"/>
      <c r="E104" s="150" t="s">
        <v>92</v>
      </c>
      <c r="F104" s="157">
        <v>200000</v>
      </c>
      <c r="G104" s="135">
        <v>2.875</v>
      </c>
      <c r="H104" s="136">
        <v>93.63671875</v>
      </c>
      <c r="I104" s="158">
        <v>45450</v>
      </c>
      <c r="J104" s="134" t="s">
        <v>105</v>
      </c>
      <c r="L104" s="139">
        <f>193164/2000</f>
        <v>96.581999999999994</v>
      </c>
      <c r="M104" s="133">
        <f t="shared" si="2"/>
        <v>193164</v>
      </c>
      <c r="N104" s="25"/>
    </row>
    <row r="105" spans="1:14" ht="15.5" x14ac:dyDescent="0.35">
      <c r="A105" s="156"/>
      <c r="B105" s="138">
        <v>47253</v>
      </c>
      <c r="C105" s="157"/>
      <c r="E105" s="150" t="s">
        <v>92</v>
      </c>
      <c r="F105" s="157">
        <v>250000</v>
      </c>
      <c r="G105" s="135">
        <v>2.375</v>
      </c>
      <c r="H105" s="136">
        <v>91.421875</v>
      </c>
      <c r="I105" s="158">
        <v>45450</v>
      </c>
      <c r="J105" s="134" t="s">
        <v>105</v>
      </c>
      <c r="L105" s="139">
        <f>238037.5/2500</f>
        <v>95.215000000000003</v>
      </c>
      <c r="M105" s="133">
        <f t="shared" si="2"/>
        <v>238037.5</v>
      </c>
      <c r="N105" s="25"/>
    </row>
    <row r="106" spans="1:14" ht="15.5" x14ac:dyDescent="0.35">
      <c r="A106" s="156"/>
      <c r="B106" s="138">
        <v>47299</v>
      </c>
      <c r="C106" s="157"/>
      <c r="E106" s="150" t="s">
        <v>92</v>
      </c>
      <c r="F106" s="157">
        <v>400000</v>
      </c>
      <c r="G106" s="135">
        <v>4.25</v>
      </c>
      <c r="H106" s="136">
        <v>99.74609375</v>
      </c>
      <c r="I106" s="158">
        <v>45478</v>
      </c>
      <c r="J106" s="134" t="s">
        <v>124</v>
      </c>
      <c r="L106" s="139">
        <f>400908/4000</f>
        <v>100.227</v>
      </c>
      <c r="M106" s="133">
        <f t="shared" si="2"/>
        <v>400908</v>
      </c>
      <c r="N106" s="25"/>
    </row>
    <row r="107" spans="1:14" ht="15.5" x14ac:dyDescent="0.35">
      <c r="A107" s="156"/>
      <c r="B107" s="138">
        <v>47345</v>
      </c>
      <c r="C107" s="157"/>
      <c r="E107" s="150" t="s">
        <v>92</v>
      </c>
      <c r="F107" s="157">
        <v>210000</v>
      </c>
      <c r="G107" s="135">
        <v>1.625</v>
      </c>
      <c r="H107" s="136">
        <v>91.570314999999994</v>
      </c>
      <c r="I107" s="158">
        <v>45545</v>
      </c>
      <c r="J107" s="134" t="s">
        <v>105</v>
      </c>
      <c r="L107" s="139">
        <f>194602.8/2100</f>
        <v>92.667999999999992</v>
      </c>
      <c r="M107" s="133">
        <f t="shared" si="2"/>
        <v>194602.8</v>
      </c>
      <c r="N107" s="25"/>
    </row>
    <row r="108" spans="1:14" ht="15.5" x14ac:dyDescent="0.35">
      <c r="A108" s="156"/>
      <c r="B108" s="138">
        <v>47361</v>
      </c>
      <c r="C108" s="157"/>
      <c r="E108" s="150" t="s">
        <v>92</v>
      </c>
      <c r="F108" s="157">
        <v>400000</v>
      </c>
      <c r="G108" s="135">
        <v>3.125</v>
      </c>
      <c r="H108" s="136">
        <v>98.023475000000005</v>
      </c>
      <c r="I108" s="158">
        <v>45568</v>
      </c>
      <c r="J108" s="134" t="s">
        <v>105</v>
      </c>
      <c r="L108" s="139">
        <f>387656/4000</f>
        <v>96.914000000000001</v>
      </c>
      <c r="M108" s="133">
        <f t="shared" si="2"/>
        <v>387656</v>
      </c>
      <c r="N108" s="25"/>
    </row>
    <row r="109" spans="1:14" ht="15.5" x14ac:dyDescent="0.35">
      <c r="A109" s="156"/>
      <c r="B109" s="138">
        <v>47422</v>
      </c>
      <c r="C109" s="157"/>
      <c r="E109" s="150" t="s">
        <v>92</v>
      </c>
      <c r="F109" s="157">
        <v>300000</v>
      </c>
      <c r="G109" s="135">
        <v>4</v>
      </c>
      <c r="H109" s="136">
        <v>98.95703125</v>
      </c>
      <c r="I109" s="158">
        <v>45694</v>
      </c>
      <c r="J109" s="134" t="s">
        <v>105</v>
      </c>
      <c r="L109" s="139">
        <f>298347/3000</f>
        <v>99.448999999999998</v>
      </c>
      <c r="M109" s="133">
        <f>SUM(L109*F109)/100</f>
        <v>298347</v>
      </c>
      <c r="N109" s="25"/>
    </row>
    <row r="110" spans="1:14" ht="15.5" x14ac:dyDescent="0.35">
      <c r="A110" s="156"/>
      <c r="B110" s="138">
        <v>47437</v>
      </c>
      <c r="C110" s="157"/>
      <c r="E110" s="150" t="s">
        <v>92</v>
      </c>
      <c r="F110" s="157">
        <v>450000</v>
      </c>
      <c r="G110" s="135">
        <v>1.75</v>
      </c>
      <c r="H110" s="136">
        <v>89.765625</v>
      </c>
      <c r="I110" s="158">
        <v>45632</v>
      </c>
      <c r="J110" s="134" t="s">
        <v>100</v>
      </c>
      <c r="L110" s="139">
        <f>416286/4500</f>
        <v>92.507999999999996</v>
      </c>
      <c r="M110" s="133">
        <f t="shared" si="2"/>
        <v>416286</v>
      </c>
      <c r="N110" s="25"/>
    </row>
    <row r="111" spans="1:14" ht="15.5" x14ac:dyDescent="0.35">
      <c r="A111" s="156"/>
      <c r="B111" s="138">
        <v>47483</v>
      </c>
      <c r="C111" s="157"/>
      <c r="E111" s="150" t="s">
        <v>92</v>
      </c>
      <c r="F111" s="157">
        <v>150000</v>
      </c>
      <c r="G111" s="135">
        <v>4.375</v>
      </c>
      <c r="H111" s="136">
        <v>99.59765625</v>
      </c>
      <c r="I111" s="158">
        <v>45666</v>
      </c>
      <c r="J111" s="134" t="s">
        <v>124</v>
      </c>
      <c r="L111" s="139">
        <f>150967/1500</f>
        <v>100.64466666666667</v>
      </c>
      <c r="M111" s="133">
        <f t="shared" si="2"/>
        <v>150967</v>
      </c>
      <c r="N111" s="25"/>
    </row>
    <row r="112" spans="1:14" ht="15.5" x14ac:dyDescent="0.35">
      <c r="A112" s="156"/>
      <c r="B112" s="138">
        <v>11004</v>
      </c>
      <c r="C112" s="157"/>
      <c r="E112" s="150" t="s">
        <v>92</v>
      </c>
      <c r="F112" s="157">
        <v>250000</v>
      </c>
      <c r="G112" s="135">
        <v>1.5</v>
      </c>
      <c r="H112" s="136">
        <v>88.816406499999999</v>
      </c>
      <c r="I112" s="158">
        <v>45721</v>
      </c>
      <c r="J112" s="134" t="s">
        <v>100</v>
      </c>
      <c r="L112" s="139">
        <f>227755/2500</f>
        <v>91.102000000000004</v>
      </c>
      <c r="M112" s="133">
        <f>SUM(L112*F112)/100</f>
        <v>227755</v>
      </c>
      <c r="N112" s="25"/>
    </row>
    <row r="113" spans="1:15" ht="15.5" x14ac:dyDescent="0.35">
      <c r="A113" s="156"/>
      <c r="B113" s="138">
        <v>11048</v>
      </c>
      <c r="C113" s="157"/>
      <c r="E113" s="150" t="s">
        <v>92</v>
      </c>
      <c r="F113" s="157">
        <v>200000</v>
      </c>
      <c r="G113" s="135">
        <v>3.625</v>
      </c>
      <c r="H113" s="136">
        <v>98.67578125</v>
      </c>
      <c r="I113" s="158">
        <v>45749</v>
      </c>
      <c r="J113" s="134" t="s">
        <v>103</v>
      </c>
      <c r="L113" s="139">
        <f>196126/2000</f>
        <v>98.063000000000002</v>
      </c>
      <c r="M113" s="133">
        <f t="shared" si="2"/>
        <v>196126</v>
      </c>
      <c r="N113" s="25"/>
    </row>
    <row r="114" spans="1:15" ht="15.5" x14ac:dyDescent="0.35">
      <c r="A114" s="156"/>
      <c r="B114" s="138">
        <v>11048</v>
      </c>
      <c r="C114" s="157"/>
      <c r="E114" s="150" t="s">
        <v>92</v>
      </c>
      <c r="F114" s="157">
        <v>175000</v>
      </c>
      <c r="G114" s="135">
        <v>4</v>
      </c>
      <c r="H114" s="136">
        <v>99.93359375</v>
      </c>
      <c r="I114" s="158">
        <v>45812</v>
      </c>
      <c r="J114" s="134" t="s">
        <v>94</v>
      </c>
      <c r="L114" s="139">
        <f>173885.25/1750</f>
        <v>99.363</v>
      </c>
      <c r="M114" s="133">
        <f t="shared" si="2"/>
        <v>173885.25</v>
      </c>
      <c r="N114" s="25"/>
    </row>
    <row r="115" spans="1:15" ht="15.5" x14ac:dyDescent="0.35">
      <c r="A115" s="156"/>
      <c r="B115" s="138">
        <v>11078</v>
      </c>
      <c r="C115" s="157"/>
      <c r="E115" s="150" t="s">
        <v>92</v>
      </c>
      <c r="F115" s="157">
        <v>115000</v>
      </c>
      <c r="G115" s="135">
        <v>3.875</v>
      </c>
      <c r="H115" s="136">
        <v>100.14453125</v>
      </c>
      <c r="I115" s="158">
        <v>45840</v>
      </c>
      <c r="J115" s="134" t="s">
        <v>100</v>
      </c>
      <c r="L115" s="139">
        <f>113755.7/1150</f>
        <v>98.917999999999992</v>
      </c>
      <c r="M115" s="133">
        <f>SUM(L115*F115)/100</f>
        <v>113755.7</v>
      </c>
      <c r="N115" s="25"/>
    </row>
    <row r="116" spans="1:15" ht="15.5" x14ac:dyDescent="0.35">
      <c r="A116" s="156"/>
      <c r="B116" s="138">
        <v>11093</v>
      </c>
      <c r="C116" s="157"/>
      <c r="E116" s="150" t="s">
        <v>92</v>
      </c>
      <c r="F116" s="157">
        <v>175000</v>
      </c>
      <c r="G116" s="135">
        <v>0.625</v>
      </c>
      <c r="H116" s="136">
        <v>84.890625</v>
      </c>
      <c r="I116" s="158">
        <v>45812</v>
      </c>
      <c r="J116" s="134" t="s">
        <v>98</v>
      </c>
      <c r="L116" s="139">
        <f>152899.25/1750</f>
        <v>87.370999999999995</v>
      </c>
      <c r="M116" s="133">
        <f t="shared" si="2"/>
        <v>152899.25</v>
      </c>
      <c r="N116" s="25"/>
    </row>
    <row r="117" spans="1:15" ht="15.5" x14ac:dyDescent="0.35">
      <c r="A117" s="156"/>
      <c r="B117" s="138">
        <v>11170</v>
      </c>
      <c r="C117" s="157"/>
      <c r="E117" s="150" t="s">
        <v>92</v>
      </c>
      <c r="F117" s="157">
        <v>200000</v>
      </c>
      <c r="G117" s="135">
        <v>3.875</v>
      </c>
      <c r="H117" s="136">
        <v>99.610937500000006</v>
      </c>
      <c r="I117" s="158">
        <v>45870</v>
      </c>
      <c r="J117" s="134" t="s">
        <v>132</v>
      </c>
      <c r="L117" s="139">
        <f>345870/3500</f>
        <v>98.82</v>
      </c>
      <c r="M117" s="133">
        <f t="shared" si="2"/>
        <v>197640</v>
      </c>
      <c r="N117" s="25"/>
    </row>
    <row r="118" spans="1:15" ht="15.5" x14ac:dyDescent="0.35">
      <c r="A118" s="156"/>
      <c r="B118" s="138">
        <v>11170</v>
      </c>
      <c r="C118" s="157"/>
      <c r="E118" s="150" t="s">
        <v>92</v>
      </c>
      <c r="F118" s="157">
        <v>150000</v>
      </c>
      <c r="G118" s="135">
        <v>3.875</v>
      </c>
      <c r="H118" s="136">
        <v>100.67187</v>
      </c>
      <c r="I118" s="158">
        <v>45939</v>
      </c>
      <c r="J118" s="134" t="s">
        <v>126</v>
      </c>
      <c r="L118" s="139">
        <f>345870/3500</f>
        <v>98.82</v>
      </c>
      <c r="M118" s="133">
        <f t="shared" si="2"/>
        <v>148229.99999999997</v>
      </c>
      <c r="N118" s="25"/>
    </row>
    <row r="119" spans="1:15" ht="15.5" x14ac:dyDescent="0.35">
      <c r="A119" s="156"/>
      <c r="B119" s="138">
        <v>11323</v>
      </c>
      <c r="C119" s="159"/>
      <c r="E119" s="150" t="s">
        <v>92</v>
      </c>
      <c r="F119" s="159">
        <v>250000</v>
      </c>
      <c r="G119" s="135">
        <v>3.625</v>
      </c>
      <c r="H119" s="136">
        <v>99.69921875</v>
      </c>
      <c r="I119" s="158">
        <v>46029</v>
      </c>
      <c r="J119" s="134" t="s">
        <v>103</v>
      </c>
      <c r="L119" s="139">
        <f>244112.5/2500</f>
        <v>97.644999999999996</v>
      </c>
      <c r="M119" s="140">
        <f t="shared" si="2"/>
        <v>244112.5</v>
      </c>
      <c r="N119" s="25"/>
    </row>
    <row r="121" spans="1:15" ht="15.5" x14ac:dyDescent="0.35">
      <c r="A121" s="156"/>
      <c r="B121" s="138"/>
      <c r="C121" s="157"/>
      <c r="E121" s="150"/>
      <c r="F121" s="157"/>
      <c r="G121" s="135"/>
      <c r="H121" s="136"/>
      <c r="I121" s="158"/>
      <c r="J121" s="134"/>
      <c r="L121" s="139"/>
      <c r="M121" s="133"/>
      <c r="N121" s="25"/>
    </row>
    <row r="122" spans="1:15" ht="16" thickBot="1" x14ac:dyDescent="0.4">
      <c r="B122" s="146" t="s">
        <v>133</v>
      </c>
      <c r="C122" s="143">
        <f>SUM(C62:C119)</f>
        <v>485892.4</v>
      </c>
      <c r="F122" s="143">
        <f>SUM(F62:F119)</f>
        <v>14020892.4</v>
      </c>
      <c r="G122" s="32"/>
      <c r="H122" s="32"/>
      <c r="I122" s="154"/>
      <c r="J122" s="32"/>
      <c r="L122" s="139"/>
      <c r="M122" s="143">
        <f>SUM(M62:M121)</f>
        <v>13733533.4</v>
      </c>
      <c r="N122" s="25"/>
      <c r="O122" s="25"/>
    </row>
    <row r="123" spans="1:15" ht="16" thickTop="1" x14ac:dyDescent="0.35">
      <c r="B123" s="146"/>
      <c r="C123" s="133"/>
      <c r="F123" s="133"/>
      <c r="G123" s="32"/>
      <c r="H123" s="32"/>
      <c r="I123" s="154"/>
      <c r="J123" s="32" t="s">
        <v>21</v>
      </c>
      <c r="L123" s="139"/>
      <c r="M123" s="133" t="s">
        <v>21</v>
      </c>
    </row>
    <row r="124" spans="1:15" x14ac:dyDescent="0.25">
      <c r="F124" s="25"/>
      <c r="G124" s="25"/>
    </row>
    <row r="125" spans="1:15" ht="15.5" x14ac:dyDescent="0.35">
      <c r="B125" s="146"/>
      <c r="C125" s="133"/>
      <c r="F125" s="133" t="s">
        <v>21</v>
      </c>
      <c r="G125" s="32"/>
      <c r="H125" s="32"/>
      <c r="I125" s="154"/>
      <c r="J125" s="32"/>
      <c r="L125" s="139"/>
      <c r="M125" s="133"/>
    </row>
    <row r="126" spans="1:15" ht="15.5" x14ac:dyDescent="0.35">
      <c r="B126" s="148" t="s">
        <v>134</v>
      </c>
      <c r="C126" s="133"/>
      <c r="F126" s="133"/>
      <c r="G126" s="32"/>
      <c r="H126" s="32"/>
      <c r="I126" s="154"/>
      <c r="J126" s="32"/>
      <c r="L126" s="139"/>
      <c r="M126" s="133"/>
    </row>
    <row r="127" spans="1:15" ht="15.5" x14ac:dyDescent="0.35">
      <c r="B127" s="146"/>
      <c r="C127" s="133"/>
      <c r="F127" s="133"/>
      <c r="G127" s="32"/>
      <c r="H127" s="32"/>
      <c r="I127" s="154"/>
      <c r="J127" s="32"/>
      <c r="L127" s="139"/>
      <c r="M127" s="133"/>
    </row>
    <row r="128" spans="1:15" ht="15.5" x14ac:dyDescent="0.35">
      <c r="A128" s="156" t="s">
        <v>119</v>
      </c>
      <c r="B128" s="138">
        <v>46204</v>
      </c>
      <c r="C128" s="157">
        <v>518763.88</v>
      </c>
      <c r="E128" s="150" t="str">
        <f>+E62</f>
        <v>CSAFE FIMD SF8888734</v>
      </c>
      <c r="F128" s="157">
        <v>518763.88</v>
      </c>
      <c r="G128" s="135">
        <v>3.71</v>
      </c>
      <c r="H128" s="136">
        <v>100</v>
      </c>
      <c r="I128" s="158">
        <v>40954</v>
      </c>
      <c r="J128" s="134" t="s">
        <v>135</v>
      </c>
      <c r="K128" s="2" t="s">
        <v>21</v>
      </c>
      <c r="L128" s="139">
        <v>100</v>
      </c>
      <c r="M128" s="133">
        <f t="shared" ref="M128:M179" si="3">SUM(L128*F128)/100</f>
        <v>518763.88</v>
      </c>
    </row>
    <row r="129" spans="1:14" ht="15.5" x14ac:dyDescent="0.35">
      <c r="A129" s="156"/>
      <c r="B129" s="138">
        <v>46234</v>
      </c>
      <c r="C129" s="157"/>
      <c r="E129" s="150" t="s">
        <v>92</v>
      </c>
      <c r="F129" s="157">
        <v>100000</v>
      </c>
      <c r="G129" s="135">
        <v>0.625</v>
      </c>
      <c r="H129" s="136">
        <v>99.27734375</v>
      </c>
      <c r="I129" s="158">
        <v>44442</v>
      </c>
      <c r="J129" s="134" t="s">
        <v>129</v>
      </c>
      <c r="L129" s="139">
        <f>249367.5/2500</f>
        <v>99.747</v>
      </c>
      <c r="M129" s="133">
        <f t="shared" si="3"/>
        <v>99747</v>
      </c>
      <c r="N129" s="25"/>
    </row>
    <row r="130" spans="1:14" ht="15.5" x14ac:dyDescent="0.35">
      <c r="A130" s="156"/>
      <c r="B130" s="138">
        <v>46234</v>
      </c>
      <c r="C130" s="157"/>
      <c r="E130" s="150" t="s">
        <v>92</v>
      </c>
      <c r="F130" s="157">
        <v>150000</v>
      </c>
      <c r="G130" s="135">
        <v>0.625</v>
      </c>
      <c r="H130" s="136">
        <v>99.53125</v>
      </c>
      <c r="I130" s="158">
        <v>44417</v>
      </c>
      <c r="J130" s="134" t="s">
        <v>129</v>
      </c>
      <c r="L130" s="139">
        <f>249367.5/2500</f>
        <v>99.747</v>
      </c>
      <c r="M130" s="133">
        <f t="shared" si="3"/>
        <v>149620.5</v>
      </c>
      <c r="N130" s="25"/>
    </row>
    <row r="131" spans="1:14" ht="15.5" x14ac:dyDescent="0.35">
      <c r="A131" s="156"/>
      <c r="B131" s="138">
        <v>46249</v>
      </c>
      <c r="C131" s="157"/>
      <c r="E131" s="150" t="s">
        <v>92</v>
      </c>
      <c r="F131" s="157">
        <v>175000</v>
      </c>
      <c r="G131" s="135">
        <v>1.5</v>
      </c>
      <c r="H131" s="136">
        <v>91.59375</v>
      </c>
      <c r="I131" s="158">
        <v>44922</v>
      </c>
      <c r="J131" s="134" t="s">
        <v>94</v>
      </c>
      <c r="L131" s="139">
        <f>174480.25/1750</f>
        <v>99.703000000000003</v>
      </c>
      <c r="M131" s="133">
        <f t="shared" si="3"/>
        <v>174480.25</v>
      </c>
      <c r="N131" s="25"/>
    </row>
    <row r="132" spans="1:14" ht="15.5" x14ac:dyDescent="0.35">
      <c r="A132" s="156"/>
      <c r="B132" s="138">
        <v>46295</v>
      </c>
      <c r="C132" s="157"/>
      <c r="E132" s="150" t="s">
        <v>92</v>
      </c>
      <c r="F132" s="157">
        <v>200000</v>
      </c>
      <c r="G132" s="135">
        <v>0.875</v>
      </c>
      <c r="H132" s="136">
        <v>98.56640625</v>
      </c>
      <c r="I132" s="158">
        <v>44498</v>
      </c>
      <c r="J132" s="134" t="s">
        <v>128</v>
      </c>
      <c r="L132" s="139">
        <f>198552/2000</f>
        <v>99.275999999999996</v>
      </c>
      <c r="M132" s="133">
        <f t="shared" si="3"/>
        <v>198552</v>
      </c>
      <c r="N132" s="25"/>
    </row>
    <row r="133" spans="1:14" ht="15.5" x14ac:dyDescent="0.35">
      <c r="A133" s="156"/>
      <c r="B133" s="138">
        <v>46343</v>
      </c>
      <c r="C133" s="157"/>
      <c r="E133" s="150" t="s">
        <v>99</v>
      </c>
      <c r="F133" s="157">
        <v>250000</v>
      </c>
      <c r="G133" s="135">
        <v>4.625</v>
      </c>
      <c r="H133" s="136">
        <v>99.822999999999993</v>
      </c>
      <c r="I133" s="158">
        <v>45247</v>
      </c>
      <c r="J133" s="134" t="s">
        <v>100</v>
      </c>
      <c r="L133" s="139">
        <f>250595/2500</f>
        <v>100.238</v>
      </c>
      <c r="M133" s="133">
        <f t="shared" si="3"/>
        <v>250595</v>
      </c>
      <c r="N133" s="25"/>
    </row>
    <row r="134" spans="1:14" ht="15.5" x14ac:dyDescent="0.35">
      <c r="A134" s="156"/>
      <c r="B134" s="138">
        <v>46356</v>
      </c>
      <c r="C134" s="157"/>
      <c r="E134" s="150" t="s">
        <v>92</v>
      </c>
      <c r="F134" s="157">
        <v>200000</v>
      </c>
      <c r="G134" s="135">
        <v>1.25</v>
      </c>
      <c r="H134" s="136">
        <v>97.1796875</v>
      </c>
      <c r="I134" s="158">
        <v>44631</v>
      </c>
      <c r="J134" s="134" t="s">
        <v>94</v>
      </c>
      <c r="L134" s="139">
        <f>197768/2000</f>
        <v>98.884</v>
      </c>
      <c r="M134" s="133">
        <f t="shared" si="3"/>
        <v>197768</v>
      </c>
      <c r="N134" s="25"/>
    </row>
    <row r="135" spans="1:14" ht="15.5" x14ac:dyDescent="0.35">
      <c r="A135" s="156"/>
      <c r="B135" s="138">
        <v>46364</v>
      </c>
      <c r="C135" s="157"/>
      <c r="E135" s="150" t="s">
        <v>121</v>
      </c>
      <c r="F135" s="157">
        <v>250000</v>
      </c>
      <c r="G135" s="135">
        <v>5.1100000000000003</v>
      </c>
      <c r="H135" s="136">
        <v>101.101</v>
      </c>
      <c r="I135" s="158">
        <v>46030</v>
      </c>
      <c r="J135" s="134" t="s">
        <v>108</v>
      </c>
      <c r="L135" s="139">
        <f>250882.5/2500</f>
        <v>100.35299999999999</v>
      </c>
      <c r="M135" s="133">
        <f t="shared" si="3"/>
        <v>250882.5</v>
      </c>
      <c r="N135" s="25"/>
    </row>
    <row r="136" spans="1:14" ht="15.5" x14ac:dyDescent="0.35">
      <c r="A136" s="160">
        <v>46387</v>
      </c>
      <c r="B136" s="138">
        <v>46387</v>
      </c>
      <c r="C136" s="157"/>
      <c r="E136" s="150" t="s">
        <v>92</v>
      </c>
      <c r="F136" s="157">
        <v>150000</v>
      </c>
      <c r="G136" s="135">
        <v>1.25</v>
      </c>
      <c r="H136" s="136">
        <v>98.1953125</v>
      </c>
      <c r="I136" s="158">
        <v>44589</v>
      </c>
      <c r="J136" s="134" t="s">
        <v>94</v>
      </c>
      <c r="L136" s="139">
        <f>148012.5/1500</f>
        <v>98.674999999999997</v>
      </c>
      <c r="M136" s="133">
        <f t="shared" si="3"/>
        <v>148012.5</v>
      </c>
      <c r="N136" s="25"/>
    </row>
    <row r="137" spans="1:14" ht="15.5" x14ac:dyDescent="0.35">
      <c r="A137" s="160"/>
      <c r="B137" s="138">
        <v>46418</v>
      </c>
      <c r="C137" s="157"/>
      <c r="E137" s="150" t="s">
        <v>92</v>
      </c>
      <c r="F137" s="157">
        <v>100000</v>
      </c>
      <c r="G137" s="135">
        <v>1.5</v>
      </c>
      <c r="H137" s="136">
        <v>94.09765625</v>
      </c>
      <c r="I137" s="158">
        <v>44679</v>
      </c>
      <c r="J137" s="134" t="s">
        <v>128</v>
      </c>
      <c r="L137" s="139">
        <f>98563/1000</f>
        <v>98.563000000000002</v>
      </c>
      <c r="M137" s="133">
        <f t="shared" si="3"/>
        <v>98563</v>
      </c>
      <c r="N137" s="25"/>
    </row>
    <row r="138" spans="1:14" ht="15.5" x14ac:dyDescent="0.35">
      <c r="A138" s="160"/>
      <c r="B138" s="138">
        <v>46433</v>
      </c>
      <c r="C138" s="157"/>
      <c r="E138" s="150" t="s">
        <v>122</v>
      </c>
      <c r="F138" s="157">
        <v>150000</v>
      </c>
      <c r="G138" s="135">
        <v>5</v>
      </c>
      <c r="H138" s="136">
        <v>113.619</v>
      </c>
      <c r="I138" s="158">
        <v>44643</v>
      </c>
      <c r="J138" s="134" t="s">
        <v>136</v>
      </c>
      <c r="L138" s="139">
        <f>150825/1500</f>
        <v>100.55</v>
      </c>
      <c r="M138" s="133">
        <f t="shared" si="3"/>
        <v>150825</v>
      </c>
      <c r="N138" s="25"/>
    </row>
    <row r="139" spans="1:14" ht="15.5" x14ac:dyDescent="0.35">
      <c r="A139" s="160"/>
      <c r="B139" s="138">
        <v>46446</v>
      </c>
      <c r="C139" s="157"/>
      <c r="E139" s="150" t="s">
        <v>92</v>
      </c>
      <c r="F139" s="157">
        <v>175000</v>
      </c>
      <c r="G139" s="135">
        <v>1.875</v>
      </c>
      <c r="H139" s="136">
        <v>92.09375</v>
      </c>
      <c r="I139" s="158">
        <v>44922</v>
      </c>
      <c r="J139" s="134" t="s">
        <v>94</v>
      </c>
      <c r="L139" s="139">
        <f>172571/1750</f>
        <v>98.611999999999995</v>
      </c>
      <c r="M139" s="133">
        <f t="shared" si="3"/>
        <v>172571</v>
      </c>
      <c r="N139" s="25"/>
    </row>
    <row r="140" spans="1:14" ht="15.5" x14ac:dyDescent="0.35">
      <c r="A140" s="156"/>
      <c r="B140" s="138">
        <v>46447</v>
      </c>
      <c r="C140" s="157"/>
      <c r="E140" s="150" t="s">
        <v>123</v>
      </c>
      <c r="F140" s="157">
        <v>130000</v>
      </c>
      <c r="G140" s="135">
        <v>4.8460000000000001</v>
      </c>
      <c r="H140" s="136">
        <v>100</v>
      </c>
      <c r="I140" s="158">
        <v>45000</v>
      </c>
      <c r="J140" s="134" t="s">
        <v>100</v>
      </c>
      <c r="L140" s="139">
        <f>130565.5/1300</f>
        <v>100.435</v>
      </c>
      <c r="M140" s="133">
        <f t="shared" si="3"/>
        <v>130565.5</v>
      </c>
      <c r="N140" s="25"/>
    </row>
    <row r="141" spans="1:14" ht="15.5" x14ac:dyDescent="0.35">
      <c r="A141" s="160"/>
      <c r="B141" s="138">
        <v>46507</v>
      </c>
      <c r="C141" s="157"/>
      <c r="E141" s="150" t="s">
        <v>92</v>
      </c>
      <c r="F141" s="157">
        <v>325000</v>
      </c>
      <c r="G141" s="135">
        <v>0.5</v>
      </c>
      <c r="H141" s="136">
        <v>88.390625</v>
      </c>
      <c r="I141" s="158">
        <v>44722</v>
      </c>
      <c r="J141" s="134" t="s">
        <v>98</v>
      </c>
      <c r="L141" s="139">
        <f>315604.25/3250</f>
        <v>97.108999999999995</v>
      </c>
      <c r="M141" s="133">
        <f t="shared" si="3"/>
        <v>315604.25</v>
      </c>
      <c r="N141" s="25"/>
    </row>
    <row r="142" spans="1:14" ht="15.5" x14ac:dyDescent="0.35">
      <c r="A142" s="160"/>
      <c r="B142" s="138">
        <v>46538</v>
      </c>
      <c r="C142" s="157"/>
      <c r="E142" s="150" t="s">
        <v>92</v>
      </c>
      <c r="F142" s="157">
        <v>200000</v>
      </c>
      <c r="G142" s="135">
        <v>2.625</v>
      </c>
      <c r="H142" s="136">
        <v>97.08203125</v>
      </c>
      <c r="I142" s="158">
        <v>44803</v>
      </c>
      <c r="J142" s="134" t="s">
        <v>95</v>
      </c>
      <c r="L142" s="139">
        <f>197354/2000</f>
        <v>98.677000000000007</v>
      </c>
      <c r="M142" s="133">
        <f t="shared" si="3"/>
        <v>197354</v>
      </c>
      <c r="N142" s="25"/>
    </row>
    <row r="143" spans="1:14" ht="15.5" x14ac:dyDescent="0.35">
      <c r="A143" s="160"/>
      <c r="B143" s="138">
        <v>46568</v>
      </c>
      <c r="C143" s="157"/>
      <c r="E143" s="150" t="s">
        <v>92</v>
      </c>
      <c r="F143" s="157">
        <v>250000</v>
      </c>
      <c r="G143" s="135">
        <v>3.25</v>
      </c>
      <c r="H143" s="136">
        <v>99.765249999999995</v>
      </c>
      <c r="I143" s="158">
        <v>44803</v>
      </c>
      <c r="J143" s="134" t="s">
        <v>126</v>
      </c>
      <c r="L143" s="139">
        <f>247902.5/2500</f>
        <v>99.161000000000001</v>
      </c>
      <c r="M143" s="133">
        <f t="shared" si="3"/>
        <v>247902.5</v>
      </c>
      <c r="N143" s="25"/>
    </row>
    <row r="144" spans="1:14" ht="15.5" x14ac:dyDescent="0.35">
      <c r="A144" s="160"/>
      <c r="B144" s="138">
        <v>46569</v>
      </c>
      <c r="C144" s="157"/>
      <c r="E144" s="150" t="s">
        <v>127</v>
      </c>
      <c r="F144" s="157">
        <v>200000</v>
      </c>
      <c r="G144" s="135">
        <v>4.6500000000000004</v>
      </c>
      <c r="H144" s="136">
        <v>100.285</v>
      </c>
      <c r="I144" s="158">
        <v>45119</v>
      </c>
      <c r="J144" s="134" t="s">
        <v>126</v>
      </c>
      <c r="L144" s="139">
        <f>201284/2000</f>
        <v>100.642</v>
      </c>
      <c r="M144" s="133">
        <f t="shared" si="3"/>
        <v>201284</v>
      </c>
      <c r="N144" s="25"/>
    </row>
    <row r="145" spans="1:14" ht="15.5" x14ac:dyDescent="0.35">
      <c r="A145" s="160"/>
      <c r="B145" s="138">
        <v>46599</v>
      </c>
      <c r="C145" s="157"/>
      <c r="E145" s="150" t="s">
        <v>92</v>
      </c>
      <c r="F145" s="157">
        <v>175000</v>
      </c>
      <c r="G145" s="135">
        <v>2.75</v>
      </c>
      <c r="H145" s="136">
        <v>95.1796875</v>
      </c>
      <c r="I145" s="158">
        <v>44922</v>
      </c>
      <c r="J145" s="134" t="s">
        <v>94</v>
      </c>
      <c r="L145" s="139">
        <f>172436.25/1750</f>
        <v>98.534999999999997</v>
      </c>
      <c r="M145" s="133">
        <f t="shared" si="3"/>
        <v>172436.25</v>
      </c>
      <c r="N145" s="25"/>
    </row>
    <row r="146" spans="1:14" ht="15.5" x14ac:dyDescent="0.35">
      <c r="A146" s="160"/>
      <c r="B146" s="138">
        <v>46630</v>
      </c>
      <c r="C146" s="157"/>
      <c r="E146" s="150" t="s">
        <v>92</v>
      </c>
      <c r="F146" s="157">
        <v>300000</v>
      </c>
      <c r="G146" s="135">
        <v>0.5</v>
      </c>
      <c r="H146" s="136">
        <v>85.140625</v>
      </c>
      <c r="I146" s="158">
        <v>44894</v>
      </c>
      <c r="J146" s="134" t="s">
        <v>94</v>
      </c>
      <c r="L146" s="139">
        <f>287673/3000</f>
        <v>95.891000000000005</v>
      </c>
      <c r="M146" s="133">
        <f t="shared" si="3"/>
        <v>287673</v>
      </c>
      <c r="N146" s="25"/>
    </row>
    <row r="147" spans="1:14" ht="15.5" x14ac:dyDescent="0.35">
      <c r="A147" s="160"/>
      <c r="B147" s="138">
        <v>46630</v>
      </c>
      <c r="C147" s="157"/>
      <c r="E147" s="150" t="s">
        <v>92</v>
      </c>
      <c r="F147" s="157">
        <v>100000</v>
      </c>
      <c r="G147" s="135">
        <v>3.125</v>
      </c>
      <c r="H147" s="136">
        <v>96.796875</v>
      </c>
      <c r="I147" s="158">
        <v>44922</v>
      </c>
      <c r="J147" s="134" t="s">
        <v>94</v>
      </c>
      <c r="L147" s="139">
        <f>98859/1000</f>
        <v>98.858999999999995</v>
      </c>
      <c r="M147" s="133">
        <f t="shared" si="3"/>
        <v>98859</v>
      </c>
      <c r="N147" s="25"/>
    </row>
    <row r="148" spans="1:14" ht="15.5" x14ac:dyDescent="0.35">
      <c r="A148" s="160"/>
      <c r="B148" s="138">
        <v>46660</v>
      </c>
      <c r="C148" s="157"/>
      <c r="E148" s="150" t="s">
        <v>92</v>
      </c>
      <c r="F148" s="157">
        <v>300000</v>
      </c>
      <c r="G148" s="135">
        <v>0.375</v>
      </c>
      <c r="H148" s="136">
        <v>84.5078125</v>
      </c>
      <c r="I148" s="158">
        <v>44894</v>
      </c>
      <c r="J148" s="134" t="s">
        <v>128</v>
      </c>
      <c r="L148" s="139">
        <f>286371/3000</f>
        <v>95.456999999999994</v>
      </c>
      <c r="M148" s="133">
        <f t="shared" si="3"/>
        <v>286370.99999999994</v>
      </c>
      <c r="N148" s="25"/>
    </row>
    <row r="149" spans="1:14" ht="15.5" x14ac:dyDescent="0.35">
      <c r="A149" s="160"/>
      <c r="B149" s="138">
        <v>46783</v>
      </c>
      <c r="C149" s="157"/>
      <c r="E149" s="150" t="s">
        <v>92</v>
      </c>
      <c r="F149" s="157">
        <v>200000</v>
      </c>
      <c r="G149" s="135">
        <v>3.5</v>
      </c>
      <c r="H149" s="136">
        <v>99.21875</v>
      </c>
      <c r="I149" s="158">
        <v>45049</v>
      </c>
      <c r="J149" s="134" t="s">
        <v>129</v>
      </c>
      <c r="L149" s="139">
        <f>197938/2000</f>
        <v>98.968999999999994</v>
      </c>
      <c r="M149" s="133">
        <f t="shared" si="3"/>
        <v>197938</v>
      </c>
      <c r="N149" s="25"/>
    </row>
    <row r="150" spans="1:14" ht="15.5" x14ac:dyDescent="0.35">
      <c r="A150" s="160"/>
      <c r="B150" s="138">
        <v>46798</v>
      </c>
      <c r="C150" s="157"/>
      <c r="E150" s="150" t="s">
        <v>92</v>
      </c>
      <c r="F150" s="157">
        <v>200000</v>
      </c>
      <c r="G150" s="135">
        <v>2.75</v>
      </c>
      <c r="H150" s="136">
        <v>94.33984375</v>
      </c>
      <c r="I150" s="158">
        <v>44999</v>
      </c>
      <c r="J150" s="134" t="s">
        <v>94</v>
      </c>
      <c r="L150" s="139">
        <f>195578/2000</f>
        <v>97.789000000000001</v>
      </c>
      <c r="M150" s="133">
        <f t="shared" si="3"/>
        <v>195578</v>
      </c>
      <c r="N150" s="25"/>
    </row>
    <row r="151" spans="1:14" ht="15.5" x14ac:dyDescent="0.35">
      <c r="A151" s="160"/>
      <c r="B151" s="138">
        <v>46812</v>
      </c>
      <c r="C151" s="157"/>
      <c r="E151" s="150" t="s">
        <v>92</v>
      </c>
      <c r="F151" s="157">
        <v>150000</v>
      </c>
      <c r="G151" s="135">
        <v>4</v>
      </c>
      <c r="H151" s="136">
        <v>96.74609375</v>
      </c>
      <c r="I151" s="158">
        <v>45204</v>
      </c>
      <c r="J151" s="134" t="s">
        <v>137</v>
      </c>
      <c r="L151" s="139">
        <f>149601/1500</f>
        <v>99.733999999999995</v>
      </c>
      <c r="M151" s="133">
        <f t="shared" si="3"/>
        <v>149601</v>
      </c>
      <c r="N151" s="25"/>
    </row>
    <row r="152" spans="1:14" ht="15.5" x14ac:dyDescent="0.35">
      <c r="A152" s="160"/>
      <c r="B152" s="138">
        <v>46873</v>
      </c>
      <c r="C152" s="157"/>
      <c r="E152" s="150" t="s">
        <v>92</v>
      </c>
      <c r="F152" s="157">
        <v>300000</v>
      </c>
      <c r="G152" s="135">
        <v>3.5</v>
      </c>
      <c r="H152" s="136">
        <v>99.5078125</v>
      </c>
      <c r="I152" s="158">
        <v>45049</v>
      </c>
      <c r="J152" s="134" t="s">
        <v>138</v>
      </c>
      <c r="L152" s="139">
        <f>296472/3000</f>
        <v>98.823999999999998</v>
      </c>
      <c r="M152" s="133">
        <f t="shared" si="3"/>
        <v>296472</v>
      </c>
      <c r="N152" s="25"/>
    </row>
    <row r="153" spans="1:14" ht="15.5" x14ac:dyDescent="0.35">
      <c r="A153" s="160"/>
      <c r="B153" s="138">
        <v>46873</v>
      </c>
      <c r="C153" s="157"/>
      <c r="E153" s="150" t="s">
        <v>92</v>
      </c>
      <c r="F153" s="157">
        <v>350000</v>
      </c>
      <c r="G153" s="135">
        <v>1.25</v>
      </c>
      <c r="H153" s="136">
        <v>87.63671875</v>
      </c>
      <c r="I153" s="158">
        <v>45103</v>
      </c>
      <c r="J153" s="134" t="s">
        <v>129</v>
      </c>
      <c r="L153" s="139">
        <f>332171/3500</f>
        <v>94.906000000000006</v>
      </c>
      <c r="M153" s="133">
        <f t="shared" si="3"/>
        <v>332171.00000000006</v>
      </c>
      <c r="N153" s="25"/>
    </row>
    <row r="154" spans="1:14" ht="15.5" x14ac:dyDescent="0.35">
      <c r="A154" s="160"/>
      <c r="B154" s="138">
        <v>46934</v>
      </c>
      <c r="C154" s="157"/>
      <c r="E154" s="150" t="s">
        <v>92</v>
      </c>
      <c r="F154" s="157">
        <v>225000</v>
      </c>
      <c r="G154" s="135">
        <v>1.25</v>
      </c>
      <c r="H154" s="136">
        <v>86.7265625</v>
      </c>
      <c r="I154" s="158">
        <v>45168</v>
      </c>
      <c r="J154" s="134" t="s">
        <v>131</v>
      </c>
      <c r="L154" s="139">
        <f>212555.25/2250</f>
        <v>94.468999999999994</v>
      </c>
      <c r="M154" s="133">
        <f t="shared" si="3"/>
        <v>212555.25</v>
      </c>
      <c r="N154" s="25"/>
    </row>
    <row r="155" spans="1:14" ht="15.5" x14ac:dyDescent="0.35">
      <c r="A155" s="160"/>
      <c r="B155" s="138">
        <v>46965</v>
      </c>
      <c r="C155" s="157"/>
      <c r="E155" s="150" t="s">
        <v>92</v>
      </c>
      <c r="F155" s="157">
        <v>175000</v>
      </c>
      <c r="G155" s="135">
        <v>4.125</v>
      </c>
      <c r="H155" s="136">
        <v>99.5078125</v>
      </c>
      <c r="I155" s="158">
        <v>45142</v>
      </c>
      <c r="J155" s="134" t="s">
        <v>139</v>
      </c>
      <c r="L155" s="139">
        <f>174877.5/1750</f>
        <v>99.93</v>
      </c>
      <c r="M155" s="133">
        <f t="shared" si="3"/>
        <v>174877.5</v>
      </c>
      <c r="N155" s="25"/>
    </row>
    <row r="156" spans="1:14" ht="15.5" x14ac:dyDescent="0.35">
      <c r="A156" s="160"/>
      <c r="B156" s="138">
        <v>47057</v>
      </c>
      <c r="C156" s="157"/>
      <c r="E156" s="150" t="s">
        <v>92</v>
      </c>
      <c r="F156" s="157">
        <v>225000</v>
      </c>
      <c r="G156" s="135">
        <v>4.875</v>
      </c>
      <c r="H156" s="136">
        <v>101.203125</v>
      </c>
      <c r="I156" s="158">
        <v>45233</v>
      </c>
      <c r="J156" s="134" t="s">
        <v>126</v>
      </c>
      <c r="L156" s="139">
        <f>228462.75/2250</f>
        <v>101.539</v>
      </c>
      <c r="M156" s="133">
        <f t="shared" si="3"/>
        <v>228462.75</v>
      </c>
      <c r="N156" s="25"/>
    </row>
    <row r="157" spans="1:14" ht="15.5" x14ac:dyDescent="0.35">
      <c r="A157" s="160"/>
      <c r="B157" s="138">
        <v>47057</v>
      </c>
      <c r="C157" s="157"/>
      <c r="E157" s="150" t="s">
        <v>92</v>
      </c>
      <c r="F157" s="157">
        <v>200000</v>
      </c>
      <c r="G157" s="135">
        <v>1.375</v>
      </c>
      <c r="H157" s="136">
        <v>87.77734375</v>
      </c>
      <c r="I157" s="158">
        <v>45267</v>
      </c>
      <c r="J157" s="134" t="s">
        <v>103</v>
      </c>
      <c r="L157" s="139">
        <f>187664/2000</f>
        <v>93.831999999999994</v>
      </c>
      <c r="M157" s="133">
        <f t="shared" si="3"/>
        <v>187664</v>
      </c>
      <c r="N157" s="25"/>
    </row>
    <row r="158" spans="1:14" ht="15.5" x14ac:dyDescent="0.35">
      <c r="A158" s="160"/>
      <c r="B158" s="138">
        <v>47072</v>
      </c>
      <c r="C158" s="157"/>
      <c r="E158" s="150" t="s">
        <v>92</v>
      </c>
      <c r="F158" s="157">
        <v>275000</v>
      </c>
      <c r="G158" s="135">
        <v>5.25</v>
      </c>
      <c r="H158" s="136">
        <v>104.91406499999999</v>
      </c>
      <c r="I158" s="158">
        <v>45267</v>
      </c>
      <c r="J158" s="134" t="s">
        <v>94</v>
      </c>
      <c r="L158" s="139">
        <f>281778.75/2750</f>
        <v>102.465</v>
      </c>
      <c r="M158" s="133">
        <f t="shared" si="3"/>
        <v>281778.75</v>
      </c>
      <c r="N158" s="25"/>
    </row>
    <row r="159" spans="1:14" ht="15.5" x14ac:dyDescent="0.35">
      <c r="A159" s="160"/>
      <c r="B159" s="138">
        <v>47118</v>
      </c>
      <c r="C159" s="157"/>
      <c r="E159" s="150" t="s">
        <v>92</v>
      </c>
      <c r="F159" s="157">
        <v>165000</v>
      </c>
      <c r="G159" s="135">
        <v>1.375</v>
      </c>
      <c r="H159" s="136">
        <v>89.578125</v>
      </c>
      <c r="I159" s="158">
        <v>45596</v>
      </c>
      <c r="J159" s="134" t="s">
        <v>100</v>
      </c>
      <c r="L159" s="139">
        <f>154166.1/1650</f>
        <v>93.433999999999997</v>
      </c>
      <c r="M159" s="133">
        <f t="shared" si="3"/>
        <v>154166.1</v>
      </c>
      <c r="N159" s="25"/>
    </row>
    <row r="160" spans="1:14" ht="15.5" x14ac:dyDescent="0.35">
      <c r="A160" s="160"/>
      <c r="B160" s="138">
        <v>47149</v>
      </c>
      <c r="C160" s="157"/>
      <c r="E160" s="150" t="s">
        <v>92</v>
      </c>
      <c r="F160" s="157">
        <v>250000</v>
      </c>
      <c r="G160" s="135">
        <v>4</v>
      </c>
      <c r="H160" s="136">
        <v>100.87109375</v>
      </c>
      <c r="I160" s="158">
        <v>45324</v>
      </c>
      <c r="J160" s="134" t="s">
        <v>126</v>
      </c>
      <c r="L160" s="139">
        <f>248925/2500</f>
        <v>99.57</v>
      </c>
      <c r="M160" s="133">
        <f t="shared" si="3"/>
        <v>248925</v>
      </c>
      <c r="N160" s="25"/>
    </row>
    <row r="161" spans="1:14" ht="15.5" x14ac:dyDescent="0.35">
      <c r="A161" s="160"/>
      <c r="B161" s="138">
        <v>47149</v>
      </c>
      <c r="C161" s="157"/>
      <c r="E161" s="150" t="s">
        <v>92</v>
      </c>
      <c r="F161" s="157">
        <v>175000</v>
      </c>
      <c r="G161" s="135">
        <v>1.75</v>
      </c>
      <c r="H161" s="136">
        <v>88.84765625</v>
      </c>
      <c r="I161" s="158">
        <v>45387</v>
      </c>
      <c r="J161" s="134" t="s">
        <v>100</v>
      </c>
      <c r="L161" s="139">
        <f>164697.75/1750</f>
        <v>94.113</v>
      </c>
      <c r="M161" s="133">
        <f t="shared" si="3"/>
        <v>164697.75</v>
      </c>
      <c r="N161" s="25"/>
    </row>
    <row r="162" spans="1:14" ht="15.5" x14ac:dyDescent="0.35">
      <c r="A162" s="160"/>
      <c r="B162" s="138">
        <v>47177</v>
      </c>
      <c r="C162" s="157"/>
      <c r="E162" s="150" t="s">
        <v>92</v>
      </c>
      <c r="F162" s="157">
        <v>175000</v>
      </c>
      <c r="G162" s="135">
        <v>1.875</v>
      </c>
      <c r="H162" s="136">
        <v>89.234375</v>
      </c>
      <c r="I162" s="158">
        <v>45387</v>
      </c>
      <c r="J162" s="134" t="s">
        <v>98</v>
      </c>
      <c r="L162" s="139">
        <f>164972.5/1750</f>
        <v>94.27</v>
      </c>
      <c r="M162" s="133">
        <f t="shared" si="3"/>
        <v>164972.5</v>
      </c>
      <c r="N162" s="25"/>
    </row>
    <row r="163" spans="1:14" ht="15.5" x14ac:dyDescent="0.35">
      <c r="A163" s="160"/>
      <c r="B163" s="138">
        <v>47208</v>
      </c>
      <c r="C163" s="157"/>
      <c r="E163" s="150" t="s">
        <v>92</v>
      </c>
      <c r="F163" s="157">
        <v>250000</v>
      </c>
      <c r="G163" s="135">
        <v>4.125</v>
      </c>
      <c r="H163" s="136">
        <v>102.09765625</v>
      </c>
      <c r="I163" s="158">
        <v>45509</v>
      </c>
      <c r="J163" s="134" t="s">
        <v>103</v>
      </c>
      <c r="L163" s="139">
        <f>249707.5/2500</f>
        <v>99.882999999999996</v>
      </c>
      <c r="M163" s="133">
        <f t="shared" si="3"/>
        <v>249707.5</v>
      </c>
      <c r="N163" s="25"/>
    </row>
    <row r="164" spans="1:14" ht="15.5" x14ac:dyDescent="0.35">
      <c r="A164" s="160"/>
      <c r="B164" s="138">
        <v>47238</v>
      </c>
      <c r="C164" s="157"/>
      <c r="E164" s="150" t="s">
        <v>92</v>
      </c>
      <c r="F164" s="157">
        <v>100000</v>
      </c>
      <c r="G164" s="135">
        <v>4.625</v>
      </c>
      <c r="H164" s="136">
        <v>99.92578125</v>
      </c>
      <c r="I164" s="158">
        <v>45412</v>
      </c>
      <c r="J164" s="134" t="s">
        <v>128</v>
      </c>
      <c r="L164" s="139">
        <f>101195/1000</f>
        <v>101.19499999999999</v>
      </c>
      <c r="M164" s="133">
        <f t="shared" si="3"/>
        <v>101195</v>
      </c>
      <c r="N164" s="25"/>
    </row>
    <row r="165" spans="1:14" ht="15.5" x14ac:dyDescent="0.35">
      <c r="A165" s="160"/>
      <c r="B165" s="138">
        <v>47238</v>
      </c>
      <c r="C165" s="157"/>
      <c r="E165" s="150" t="s">
        <v>92</v>
      </c>
      <c r="F165" s="157">
        <v>200000</v>
      </c>
      <c r="G165" s="135">
        <v>2.875</v>
      </c>
      <c r="H165" s="136">
        <v>93.63671875</v>
      </c>
      <c r="I165" s="158">
        <v>45450</v>
      </c>
      <c r="J165" s="134" t="s">
        <v>105</v>
      </c>
      <c r="L165" s="139">
        <f>193164/2000</f>
        <v>96.581999999999994</v>
      </c>
      <c r="M165" s="133">
        <f t="shared" si="3"/>
        <v>193164</v>
      </c>
      <c r="N165" s="25"/>
    </row>
    <row r="166" spans="1:14" ht="15.5" x14ac:dyDescent="0.35">
      <c r="A166" s="160"/>
      <c r="B166" s="138">
        <v>47253</v>
      </c>
      <c r="C166" s="157"/>
      <c r="E166" s="150" t="s">
        <v>92</v>
      </c>
      <c r="F166" s="157">
        <v>200000</v>
      </c>
      <c r="G166" s="135">
        <v>2.375</v>
      </c>
      <c r="H166" s="136">
        <v>91.421875</v>
      </c>
      <c r="I166" s="158">
        <v>45450</v>
      </c>
      <c r="J166" s="134" t="s">
        <v>105</v>
      </c>
      <c r="L166" s="139">
        <f>190430/2000</f>
        <v>95.215000000000003</v>
      </c>
      <c r="M166" s="133">
        <f>SUM(L166*F166)/100</f>
        <v>190430</v>
      </c>
      <c r="N166" s="25"/>
    </row>
    <row r="167" spans="1:14" ht="15.5" x14ac:dyDescent="0.35">
      <c r="A167" s="160"/>
      <c r="B167" s="138">
        <v>47299</v>
      </c>
      <c r="C167" s="157"/>
      <c r="E167" s="150" t="s">
        <v>92</v>
      </c>
      <c r="F167" s="157">
        <v>150000</v>
      </c>
      <c r="G167" s="135">
        <v>4.25</v>
      </c>
      <c r="H167" s="136">
        <v>86.62</v>
      </c>
      <c r="I167" s="158">
        <v>45478</v>
      </c>
      <c r="J167" s="134" t="s">
        <v>138</v>
      </c>
      <c r="L167" s="139">
        <f>150340/1500</f>
        <v>100.22666666666667</v>
      </c>
      <c r="M167" s="133">
        <f>SUM(L167*F167)/100</f>
        <v>150340.00000000003</v>
      </c>
      <c r="N167" s="25"/>
    </row>
    <row r="168" spans="1:14" ht="15.5" x14ac:dyDescent="0.35">
      <c r="A168" s="160"/>
      <c r="B168" s="138">
        <v>47345</v>
      </c>
      <c r="C168" s="157"/>
      <c r="E168" s="150" t="s">
        <v>92</v>
      </c>
      <c r="F168" s="157">
        <v>160000</v>
      </c>
      <c r="G168" s="135">
        <v>1.625</v>
      </c>
      <c r="H168" s="136">
        <v>91.5703125</v>
      </c>
      <c r="I168" s="158">
        <v>45545</v>
      </c>
      <c r="J168" s="134" t="s">
        <v>105</v>
      </c>
      <c r="L168" s="139">
        <f>148268.8/1600</f>
        <v>92.667999999999992</v>
      </c>
      <c r="M168" s="133">
        <f t="shared" si="3"/>
        <v>148268.79999999999</v>
      </c>
      <c r="N168" s="25"/>
    </row>
    <row r="169" spans="1:14" ht="15.5" x14ac:dyDescent="0.35">
      <c r="A169" s="160"/>
      <c r="B169" s="138">
        <v>47361</v>
      </c>
      <c r="E169" s="150" t="s">
        <v>92</v>
      </c>
      <c r="F169" s="157">
        <v>275000</v>
      </c>
      <c r="G169" s="135">
        <v>3.125</v>
      </c>
      <c r="H169" s="136">
        <v>98.0234375</v>
      </c>
      <c r="I169" s="158">
        <v>45568</v>
      </c>
      <c r="J169" s="134" t="s">
        <v>105</v>
      </c>
      <c r="L169" s="139">
        <f>266513.5/2750</f>
        <v>96.914000000000001</v>
      </c>
      <c r="M169" s="133">
        <f>SUM(L169*F169)/100</f>
        <v>266513.5</v>
      </c>
      <c r="N169" s="25"/>
    </row>
    <row r="170" spans="1:14" ht="15.5" x14ac:dyDescent="0.35">
      <c r="A170" s="160"/>
      <c r="B170" s="138">
        <v>47422</v>
      </c>
      <c r="E170" s="150" t="s">
        <v>92</v>
      </c>
      <c r="F170" s="157">
        <v>200000</v>
      </c>
      <c r="G170" s="135">
        <v>4</v>
      </c>
      <c r="H170" s="136">
        <v>98.95703125</v>
      </c>
      <c r="I170" s="158">
        <v>45694</v>
      </c>
      <c r="J170" s="134" t="s">
        <v>105</v>
      </c>
      <c r="L170" s="139">
        <f>198898/2000</f>
        <v>99.448999999999998</v>
      </c>
      <c r="M170" s="133">
        <f t="shared" ref="M170:M176" si="4">SUM(L170*F170)/100</f>
        <v>198898</v>
      </c>
      <c r="N170" s="25"/>
    </row>
    <row r="171" spans="1:14" ht="15.5" x14ac:dyDescent="0.35">
      <c r="A171" s="160"/>
      <c r="B171" s="138">
        <v>47437</v>
      </c>
      <c r="E171" s="150" t="s">
        <v>92</v>
      </c>
      <c r="F171" s="157">
        <v>275000</v>
      </c>
      <c r="G171" s="135">
        <v>1.75</v>
      </c>
      <c r="H171" s="136">
        <v>89.765625</v>
      </c>
      <c r="I171" s="158">
        <v>45632</v>
      </c>
      <c r="J171" s="134" t="s">
        <v>100</v>
      </c>
      <c r="L171" s="139">
        <f>254397/2750</f>
        <v>92.507999999999996</v>
      </c>
      <c r="M171" s="133">
        <f t="shared" si="4"/>
        <v>254397</v>
      </c>
      <c r="N171" s="25"/>
    </row>
    <row r="172" spans="1:14" ht="15.5" x14ac:dyDescent="0.35">
      <c r="A172" s="160"/>
      <c r="B172" s="138">
        <v>47483</v>
      </c>
      <c r="E172" s="150" t="s">
        <v>92</v>
      </c>
      <c r="F172" s="157">
        <v>300000</v>
      </c>
      <c r="G172" s="135">
        <v>4.375</v>
      </c>
      <c r="H172" s="136">
        <v>99.59765625</v>
      </c>
      <c r="I172" s="158">
        <v>45666</v>
      </c>
      <c r="J172" s="134" t="s">
        <v>138</v>
      </c>
      <c r="L172" s="139">
        <f>301935/3000</f>
        <v>100.645</v>
      </c>
      <c r="M172" s="133">
        <f t="shared" si="4"/>
        <v>301935</v>
      </c>
      <c r="N172" s="25"/>
    </row>
    <row r="173" spans="1:14" ht="15.5" x14ac:dyDescent="0.35">
      <c r="A173" s="160"/>
      <c r="B173" s="138">
        <v>11004</v>
      </c>
      <c r="E173" s="150" t="s">
        <v>92</v>
      </c>
      <c r="F173" s="157">
        <v>200000</v>
      </c>
      <c r="G173" s="135">
        <v>1.5</v>
      </c>
      <c r="H173" s="136">
        <v>88.81640625</v>
      </c>
      <c r="I173" s="158">
        <v>45721</v>
      </c>
      <c r="J173" s="134" t="s">
        <v>100</v>
      </c>
      <c r="L173" s="139">
        <f>182204/2000</f>
        <v>91.102000000000004</v>
      </c>
      <c r="M173" s="133">
        <f t="shared" si="4"/>
        <v>182204</v>
      </c>
      <c r="N173" s="25"/>
    </row>
    <row r="174" spans="1:14" ht="15.5" x14ac:dyDescent="0.35">
      <c r="A174" s="160"/>
      <c r="B174" s="138">
        <v>11048</v>
      </c>
      <c r="E174" s="150" t="s">
        <v>92</v>
      </c>
      <c r="F174" s="157">
        <v>200000</v>
      </c>
      <c r="G174" s="135">
        <v>3.625</v>
      </c>
      <c r="H174" s="136">
        <v>98.67578125</v>
      </c>
      <c r="I174" s="158">
        <v>45750</v>
      </c>
      <c r="J174" s="134" t="s">
        <v>103</v>
      </c>
      <c r="L174" s="139">
        <f>392252/4000</f>
        <v>98.063000000000002</v>
      </c>
      <c r="M174" s="133">
        <f t="shared" si="4"/>
        <v>196126</v>
      </c>
      <c r="N174" s="25"/>
    </row>
    <row r="175" spans="1:14" ht="15.5" x14ac:dyDescent="0.35">
      <c r="A175" s="160"/>
      <c r="B175" s="138">
        <v>11048</v>
      </c>
      <c r="E175" s="150" t="s">
        <v>92</v>
      </c>
      <c r="F175" s="157">
        <v>200000</v>
      </c>
      <c r="G175" s="135">
        <v>3.625</v>
      </c>
      <c r="H175" s="136">
        <v>99.953125</v>
      </c>
      <c r="I175" s="158">
        <v>46030</v>
      </c>
      <c r="J175" s="134" t="s">
        <v>98</v>
      </c>
      <c r="L175" s="139">
        <f>392252/4000</f>
        <v>98.063000000000002</v>
      </c>
      <c r="M175" s="133">
        <f>SUM(L175*F175)/100</f>
        <v>196126</v>
      </c>
      <c r="N175" s="25"/>
    </row>
    <row r="176" spans="1:14" ht="15.5" x14ac:dyDescent="0.35">
      <c r="A176" s="160"/>
      <c r="B176" s="138">
        <v>11170</v>
      </c>
      <c r="E176" s="150" t="s">
        <v>92</v>
      </c>
      <c r="F176" s="157">
        <v>125000</v>
      </c>
      <c r="G176" s="135">
        <v>3.875</v>
      </c>
      <c r="H176" s="136">
        <v>100.671875</v>
      </c>
      <c r="I176" s="158">
        <v>45939</v>
      </c>
      <c r="J176" s="134" t="s">
        <v>95</v>
      </c>
      <c r="L176" s="139">
        <f>419985/4250</f>
        <v>98.82</v>
      </c>
      <c r="M176" s="133">
        <f t="shared" si="4"/>
        <v>123525</v>
      </c>
      <c r="N176" s="25"/>
    </row>
    <row r="177" spans="1:15" ht="15.5" x14ac:dyDescent="0.35">
      <c r="A177" s="160"/>
      <c r="B177" s="138">
        <v>11170</v>
      </c>
      <c r="E177" s="150" t="s">
        <v>92</v>
      </c>
      <c r="F177" s="157">
        <v>125000</v>
      </c>
      <c r="G177" s="135">
        <v>3.875</v>
      </c>
      <c r="H177" s="136">
        <v>101.0546875</v>
      </c>
      <c r="I177" s="158">
        <v>45939</v>
      </c>
      <c r="J177" s="134" t="s">
        <v>126</v>
      </c>
      <c r="L177" s="139">
        <f t="shared" ref="L177:L178" si="5">419985/4250</f>
        <v>98.82</v>
      </c>
      <c r="M177" s="133">
        <f>SUM(L177*F177)/100</f>
        <v>123525</v>
      </c>
      <c r="N177" s="25"/>
    </row>
    <row r="178" spans="1:15" ht="15.5" x14ac:dyDescent="0.35">
      <c r="A178" s="160"/>
      <c r="B178" s="138">
        <v>11170</v>
      </c>
      <c r="E178" s="150" t="s">
        <v>92</v>
      </c>
      <c r="F178" s="157">
        <v>175000</v>
      </c>
      <c r="G178" s="135">
        <v>3.875</v>
      </c>
      <c r="H178" s="136">
        <v>99.62109375</v>
      </c>
      <c r="I178" s="158">
        <v>45870</v>
      </c>
      <c r="J178" s="134" t="s">
        <v>94</v>
      </c>
      <c r="L178" s="139">
        <f t="shared" si="5"/>
        <v>98.82</v>
      </c>
      <c r="M178" s="133">
        <f t="shared" si="3"/>
        <v>172935</v>
      </c>
      <c r="N178" s="25"/>
    </row>
    <row r="179" spans="1:15" ht="15.5" x14ac:dyDescent="0.35">
      <c r="A179" s="160"/>
      <c r="B179" s="138">
        <v>11323</v>
      </c>
      <c r="E179" s="150" t="s">
        <v>92</v>
      </c>
      <c r="F179" s="159">
        <v>500000</v>
      </c>
      <c r="G179" s="135">
        <v>3.625</v>
      </c>
      <c r="H179" s="136">
        <v>99.69921875</v>
      </c>
      <c r="I179" s="158">
        <v>46030</v>
      </c>
      <c r="J179" s="134" t="s">
        <v>103</v>
      </c>
      <c r="L179" s="139">
        <f>488225/5000</f>
        <v>97.644999999999996</v>
      </c>
      <c r="M179" s="140">
        <f t="shared" si="3"/>
        <v>488225</v>
      </c>
      <c r="N179" s="25"/>
    </row>
    <row r="180" spans="1:15" x14ac:dyDescent="0.25">
      <c r="C180" s="161"/>
    </row>
    <row r="181" spans="1:15" ht="15.5" x14ac:dyDescent="0.35">
      <c r="A181" s="156"/>
      <c r="B181" s="138"/>
      <c r="C181" s="157"/>
      <c r="E181" s="150"/>
      <c r="F181" s="157"/>
      <c r="G181" s="135"/>
      <c r="H181" s="136"/>
      <c r="I181" s="162"/>
      <c r="J181" s="134"/>
      <c r="L181" s="139"/>
      <c r="M181" s="133" t="s">
        <v>21</v>
      </c>
      <c r="N181" s="25"/>
    </row>
    <row r="182" spans="1:15" ht="16" thickBot="1" x14ac:dyDescent="0.4">
      <c r="B182" s="146" t="s">
        <v>140</v>
      </c>
      <c r="C182" s="143">
        <f>SUM(C128:C181)</f>
        <v>518763.88</v>
      </c>
      <c r="F182" s="143">
        <f>SUM(F128:F181)</f>
        <v>11098763.879999999</v>
      </c>
      <c r="G182" s="32"/>
      <c r="H182" s="32"/>
      <c r="I182" s="154"/>
      <c r="J182" s="32"/>
      <c r="L182" s="139"/>
      <c r="M182" s="143">
        <f>SUM(M128:M181)</f>
        <v>10875804.529999999</v>
      </c>
      <c r="N182" s="25"/>
      <c r="O182" s="25"/>
    </row>
    <row r="183" spans="1:15" ht="16" thickTop="1" x14ac:dyDescent="0.35">
      <c r="B183" s="146"/>
      <c r="C183" s="133"/>
      <c r="F183" s="133" t="s">
        <v>21</v>
      </c>
      <c r="G183" s="32"/>
      <c r="H183" s="32"/>
      <c r="I183" s="154"/>
      <c r="J183" s="32"/>
      <c r="L183" s="139"/>
      <c r="M183" s="133" t="s">
        <v>21</v>
      </c>
      <c r="N183" s="25"/>
    </row>
    <row r="184" spans="1:15" ht="15.5" x14ac:dyDescent="0.35">
      <c r="B184" s="146"/>
      <c r="C184" s="133"/>
      <c r="F184" s="133"/>
      <c r="G184" s="32"/>
      <c r="H184" s="32"/>
      <c r="I184" s="154"/>
      <c r="J184" s="32"/>
      <c r="L184" s="139"/>
      <c r="M184" s="133" t="s">
        <v>21</v>
      </c>
    </row>
    <row r="185" spans="1:15" ht="15.5" x14ac:dyDescent="0.35">
      <c r="B185" s="146"/>
      <c r="C185" s="133"/>
      <c r="F185" s="133"/>
      <c r="G185" s="32"/>
      <c r="H185" s="32"/>
      <c r="I185" s="154"/>
      <c r="J185" s="32"/>
      <c r="L185" s="139"/>
      <c r="M185" s="133" t="s">
        <v>21</v>
      </c>
    </row>
    <row r="186" spans="1:15" ht="15.5" x14ac:dyDescent="0.35">
      <c r="B186" s="163" t="s">
        <v>141</v>
      </c>
      <c r="C186" s="133"/>
      <c r="F186" s="133"/>
      <c r="G186" s="32"/>
      <c r="H186" s="32"/>
      <c r="I186" s="154"/>
      <c r="J186" s="32"/>
      <c r="L186" s="139"/>
      <c r="M186" s="133" t="s">
        <v>21</v>
      </c>
    </row>
    <row r="187" spans="1:15" ht="15.5" x14ac:dyDescent="0.35">
      <c r="B187" s="156"/>
      <c r="C187" s="133"/>
      <c r="F187" s="133"/>
      <c r="G187" s="32"/>
      <c r="H187" s="32"/>
      <c r="I187" s="154"/>
      <c r="J187" s="32"/>
      <c r="L187" s="139"/>
      <c r="M187" s="133"/>
    </row>
    <row r="188" spans="1:15" ht="15.5" x14ac:dyDescent="0.35">
      <c r="A188" s="156" t="s">
        <v>119</v>
      </c>
      <c r="B188" s="156" t="s">
        <v>142</v>
      </c>
      <c r="C188" s="140">
        <v>1508057.06</v>
      </c>
      <c r="E188" s="150" t="s">
        <v>119</v>
      </c>
      <c r="F188" s="140">
        <v>1508057.06</v>
      </c>
      <c r="G188" s="135">
        <v>3.66</v>
      </c>
      <c r="H188" s="136">
        <v>100</v>
      </c>
      <c r="I188" s="164" t="s">
        <v>142</v>
      </c>
      <c r="J188" s="150" t="s">
        <v>143</v>
      </c>
      <c r="L188" s="139">
        <v>100</v>
      </c>
      <c r="M188" s="140">
        <f>SUM(L188*F188)/100</f>
        <v>1508057.06</v>
      </c>
    </row>
    <row r="189" spans="1:15" ht="15.5" x14ac:dyDescent="0.35">
      <c r="B189" s="160"/>
      <c r="C189" s="133"/>
      <c r="E189" s="150"/>
      <c r="F189" s="133"/>
      <c r="G189" s="32"/>
      <c r="H189" s="32"/>
      <c r="I189" s="154"/>
      <c r="J189" s="32"/>
      <c r="L189" s="139"/>
      <c r="M189" s="133"/>
    </row>
    <row r="190" spans="1:15" ht="16" thickBot="1" x14ac:dyDescent="0.4">
      <c r="B190" s="165" t="s">
        <v>144</v>
      </c>
      <c r="C190" s="143">
        <f>SUM(C188:C188)</f>
        <v>1508057.06</v>
      </c>
      <c r="E190" s="32"/>
      <c r="F190" s="143">
        <f>SUM(F188:F188)</f>
        <v>1508057.06</v>
      </c>
      <c r="G190" s="32"/>
      <c r="H190" s="32"/>
      <c r="I190" s="154"/>
      <c r="J190" s="32"/>
      <c r="L190" s="139"/>
      <c r="M190" s="143">
        <f>SUM(M188:M188)</f>
        <v>1508057.06</v>
      </c>
    </row>
    <row r="191" spans="1:15" ht="16" thickTop="1" x14ac:dyDescent="0.35">
      <c r="C191" s="133"/>
      <c r="E191" s="32"/>
      <c r="F191" s="133"/>
      <c r="G191" s="32"/>
      <c r="H191" s="32"/>
      <c r="I191" s="154"/>
      <c r="J191" s="32"/>
      <c r="L191" s="139"/>
      <c r="M191" s="133"/>
    </row>
    <row r="192" spans="1:15" ht="15.5" x14ac:dyDescent="0.35">
      <c r="A192" s="113" t="s">
        <v>21</v>
      </c>
      <c r="B192" s="156"/>
      <c r="C192" s="133"/>
      <c r="E192" s="32"/>
      <c r="F192" s="133"/>
      <c r="G192" s="32"/>
      <c r="H192" s="32"/>
      <c r="I192" s="154"/>
      <c r="J192" s="32"/>
      <c r="L192" s="139"/>
      <c r="M192" s="133"/>
    </row>
    <row r="193" spans="1:13" ht="15.5" x14ac:dyDescent="0.35">
      <c r="B193" s="163" t="s">
        <v>145</v>
      </c>
      <c r="C193" s="133"/>
      <c r="E193" s="32"/>
      <c r="F193" s="133"/>
      <c r="G193" s="32"/>
      <c r="H193" s="32"/>
      <c r="I193" s="154"/>
      <c r="J193" s="32"/>
      <c r="L193" s="139"/>
      <c r="M193" s="133"/>
    </row>
    <row r="194" spans="1:13" ht="15.5" x14ac:dyDescent="0.35">
      <c r="B194" s="156"/>
      <c r="C194" s="133"/>
      <c r="E194" s="32"/>
      <c r="F194" s="133"/>
      <c r="G194" s="32"/>
      <c r="H194" s="32"/>
      <c r="I194" s="154"/>
      <c r="J194" s="32"/>
      <c r="L194" s="139"/>
      <c r="M194" s="133"/>
    </row>
    <row r="195" spans="1:13" ht="15.5" x14ac:dyDescent="0.35">
      <c r="B195" s="165" t="s">
        <v>146</v>
      </c>
      <c r="C195" s="133"/>
      <c r="E195" s="32"/>
      <c r="F195" s="133"/>
      <c r="G195" s="32"/>
      <c r="H195" s="32"/>
      <c r="I195" s="154"/>
      <c r="J195" s="32"/>
      <c r="L195" s="139"/>
      <c r="M195" s="133"/>
    </row>
    <row r="196" spans="1:13" ht="15.5" x14ac:dyDescent="0.35">
      <c r="B196" s="165"/>
      <c r="C196" s="133"/>
      <c r="E196" s="32"/>
      <c r="F196" s="133"/>
      <c r="G196" s="32"/>
      <c r="H196" s="32"/>
      <c r="I196" s="154"/>
      <c r="J196" s="32"/>
      <c r="L196" s="139"/>
      <c r="M196" s="133"/>
    </row>
    <row r="197" spans="1:13" ht="15.5" x14ac:dyDescent="0.35">
      <c r="A197" s="156" t="s">
        <v>119</v>
      </c>
      <c r="B197" s="165" t="s">
        <v>142</v>
      </c>
      <c r="C197" s="133">
        <v>1163.79</v>
      </c>
      <c r="E197" s="150" t="s">
        <v>147</v>
      </c>
      <c r="F197" s="133">
        <v>1163.79</v>
      </c>
      <c r="G197" s="135">
        <v>3.17</v>
      </c>
      <c r="H197" s="136">
        <v>100</v>
      </c>
      <c r="I197" s="164" t="s">
        <v>142</v>
      </c>
      <c r="J197" s="150" t="s">
        <v>148</v>
      </c>
      <c r="L197" s="139">
        <v>100</v>
      </c>
      <c r="M197" s="133">
        <f>SUM(L197*F197)/100</f>
        <v>1163.79</v>
      </c>
    </row>
    <row r="198" spans="1:13" ht="15.5" x14ac:dyDescent="0.35">
      <c r="A198" s="156"/>
      <c r="B198" s="165" t="s">
        <v>142</v>
      </c>
      <c r="C198" s="140">
        <v>0.01</v>
      </c>
      <c r="E198" s="150" t="s">
        <v>149</v>
      </c>
      <c r="F198" s="140">
        <v>0.01</v>
      </c>
      <c r="G198" s="135">
        <v>0</v>
      </c>
      <c r="H198" s="136">
        <v>100</v>
      </c>
      <c r="I198" s="164" t="s">
        <v>142</v>
      </c>
      <c r="J198" s="150" t="s">
        <v>148</v>
      </c>
      <c r="L198" s="139">
        <v>100</v>
      </c>
      <c r="M198" s="140">
        <f>SUM(L198*F198)/100</f>
        <v>0.01</v>
      </c>
    </row>
    <row r="199" spans="1:13" ht="15.5" x14ac:dyDescent="0.35">
      <c r="B199" s="138" t="s">
        <v>21</v>
      </c>
      <c r="C199" s="133"/>
      <c r="E199" s="32"/>
      <c r="F199" s="133" t="s">
        <v>21</v>
      </c>
      <c r="G199" s="32"/>
      <c r="H199" s="32"/>
      <c r="I199" s="154"/>
      <c r="J199" s="134"/>
      <c r="L199" s="139"/>
      <c r="M199" s="133"/>
    </row>
    <row r="200" spans="1:13" ht="15.5" x14ac:dyDescent="0.35">
      <c r="B200" s="165" t="s">
        <v>150</v>
      </c>
      <c r="C200" s="140">
        <f>SUM(C197:C198)</f>
        <v>1163.8</v>
      </c>
      <c r="E200" s="32" t="s">
        <v>21</v>
      </c>
      <c r="F200" s="140">
        <f>SUM(F197:F198)</f>
        <v>1163.8</v>
      </c>
      <c r="G200" s="32"/>
      <c r="H200" s="32"/>
      <c r="I200" s="154"/>
      <c r="J200" s="134" t="s">
        <v>21</v>
      </c>
      <c r="L200" s="139"/>
      <c r="M200" s="140">
        <f>SUM(M197:M198)</f>
        <v>1163.8</v>
      </c>
    </row>
    <row r="201" spans="1:13" ht="15.5" x14ac:dyDescent="0.35">
      <c r="C201" s="133" t="s">
        <v>21</v>
      </c>
      <c r="E201" s="32" t="s">
        <v>21</v>
      </c>
      <c r="F201" s="133" t="s">
        <v>21</v>
      </c>
      <c r="G201" s="32"/>
      <c r="H201" s="32"/>
      <c r="I201" s="154"/>
      <c r="J201" s="32"/>
      <c r="L201" s="139"/>
      <c r="M201" s="133"/>
    </row>
    <row r="202" spans="1:13" ht="15.5" x14ac:dyDescent="0.35">
      <c r="B202" s="156"/>
      <c r="C202" s="133"/>
      <c r="E202" s="32"/>
      <c r="F202" s="133"/>
      <c r="G202" s="32"/>
      <c r="H202" s="32"/>
      <c r="I202" s="154"/>
      <c r="J202" s="32"/>
      <c r="L202" s="139"/>
      <c r="M202" s="133"/>
    </row>
    <row r="203" spans="1:13" ht="16" thickBot="1" x14ac:dyDescent="0.4">
      <c r="B203" s="165" t="s">
        <v>151</v>
      </c>
      <c r="C203" s="143">
        <f>SUM(+ C200 )</f>
        <v>1163.8</v>
      </c>
      <c r="E203" s="32"/>
      <c r="F203" s="143">
        <f>SUM(+ F200 )</f>
        <v>1163.8</v>
      </c>
      <c r="G203" s="32"/>
      <c r="H203" s="32"/>
      <c r="I203" s="154"/>
      <c r="J203" s="32"/>
      <c r="L203" s="139"/>
      <c r="M203" s="143">
        <f>SUM(+ M200 )</f>
        <v>1163.8</v>
      </c>
    </row>
    <row r="204" spans="1:13" ht="16" thickTop="1" x14ac:dyDescent="0.35">
      <c r="B204" s="165"/>
      <c r="C204" s="133"/>
      <c r="E204" s="32"/>
      <c r="F204" s="133"/>
      <c r="G204" s="32"/>
      <c r="H204" s="32"/>
      <c r="I204" s="154"/>
      <c r="J204" s="32"/>
      <c r="L204" s="139"/>
      <c r="M204" s="133"/>
    </row>
    <row r="205" spans="1:13" ht="15.5" x14ac:dyDescent="0.35">
      <c r="B205" s="156"/>
      <c r="C205" s="133"/>
      <c r="E205" s="32"/>
      <c r="F205" s="133"/>
      <c r="G205" s="32"/>
      <c r="H205" s="32"/>
      <c r="I205" s="154"/>
      <c r="J205" s="32"/>
      <c r="L205" s="139"/>
      <c r="M205" s="133"/>
    </row>
    <row r="206" spans="1:13" ht="15.5" x14ac:dyDescent="0.35">
      <c r="B206" s="130" t="s">
        <v>152</v>
      </c>
      <c r="C206" s="133"/>
      <c r="E206" s="32"/>
      <c r="F206" s="133"/>
      <c r="G206" s="32"/>
      <c r="H206" s="32"/>
      <c r="I206" s="154"/>
      <c r="J206" s="32"/>
      <c r="L206" s="139"/>
      <c r="M206" s="133"/>
    </row>
    <row r="207" spans="1:13" ht="15.5" x14ac:dyDescent="0.35">
      <c r="C207" s="133"/>
      <c r="E207" s="32"/>
      <c r="F207" s="133" t="s">
        <v>21</v>
      </c>
      <c r="G207" s="32"/>
      <c r="H207" s="32"/>
      <c r="I207" s="154"/>
      <c r="J207" s="32"/>
      <c r="L207" s="139"/>
      <c r="M207" s="133"/>
    </row>
    <row r="208" spans="1:13" ht="15.5" x14ac:dyDescent="0.35">
      <c r="A208" s="156" t="s">
        <v>119</v>
      </c>
      <c r="B208" s="166">
        <f>+B14</f>
        <v>46204</v>
      </c>
      <c r="C208" s="140">
        <v>1736594.99</v>
      </c>
      <c r="E208" s="150" t="s">
        <v>153</v>
      </c>
      <c r="F208" s="140">
        <v>1736594.99</v>
      </c>
      <c r="G208" s="135">
        <v>3.17</v>
      </c>
      <c r="H208" s="167">
        <v>100</v>
      </c>
      <c r="I208" s="164" t="s">
        <v>142</v>
      </c>
      <c r="J208" s="134" t="s">
        <v>112</v>
      </c>
      <c r="L208" s="139">
        <v>100</v>
      </c>
      <c r="M208" s="140">
        <f>SUM(L208*F208)/100</f>
        <v>1736594.99</v>
      </c>
    </row>
    <row r="209" spans="1:15" ht="15.5" x14ac:dyDescent="0.35">
      <c r="C209" s="133"/>
      <c r="E209" s="32"/>
      <c r="F209" s="133" t="s">
        <v>21</v>
      </c>
      <c r="G209" s="32"/>
      <c r="H209" s="32"/>
      <c r="I209" s="154"/>
      <c r="J209" s="32"/>
      <c r="L209" s="139"/>
      <c r="M209" s="133"/>
    </row>
    <row r="210" spans="1:15" ht="16" thickBot="1" x14ac:dyDescent="0.4">
      <c r="B210" s="156" t="s">
        <v>154</v>
      </c>
      <c r="C210" s="143">
        <f>SUM(C208:C209)</f>
        <v>1736594.99</v>
      </c>
      <c r="E210" s="32"/>
      <c r="F210" s="143">
        <f>SUM(F208:F209)</f>
        <v>1736594.99</v>
      </c>
      <c r="G210" s="32"/>
      <c r="H210" s="32"/>
      <c r="I210" s="154"/>
      <c r="J210" s="32"/>
      <c r="L210" s="139"/>
      <c r="M210" s="143">
        <f>SUM(M208:M209)</f>
        <v>1736594.99</v>
      </c>
    </row>
    <row r="211" spans="1:15" ht="16" thickTop="1" x14ac:dyDescent="0.35">
      <c r="C211" s="133"/>
      <c r="E211" s="32"/>
      <c r="F211" s="133"/>
      <c r="G211" s="32"/>
      <c r="H211" s="32"/>
      <c r="I211" s="154"/>
      <c r="J211" s="32"/>
      <c r="L211" s="139"/>
      <c r="M211" s="133"/>
    </row>
    <row r="212" spans="1:15" ht="15.5" x14ac:dyDescent="0.35">
      <c r="B212" s="165"/>
      <c r="C212" s="133"/>
      <c r="E212" s="32"/>
      <c r="F212" s="133"/>
      <c r="G212" s="32"/>
      <c r="H212" s="32"/>
      <c r="I212" s="154"/>
      <c r="J212" s="32"/>
      <c r="L212" s="139"/>
      <c r="M212" s="133"/>
    </row>
    <row r="213" spans="1:15" ht="15.5" x14ac:dyDescent="0.35">
      <c r="B213" s="130" t="s">
        <v>155</v>
      </c>
      <c r="C213" s="133"/>
      <c r="E213" s="32"/>
      <c r="F213" s="133"/>
      <c r="G213" s="32"/>
      <c r="H213" s="32"/>
      <c r="I213" s="154"/>
      <c r="J213" s="32"/>
      <c r="L213" s="139"/>
      <c r="M213" s="133"/>
    </row>
    <row r="214" spans="1:15" ht="15.5" x14ac:dyDescent="0.35">
      <c r="C214" s="133"/>
      <c r="E214" s="32"/>
      <c r="F214" s="133"/>
      <c r="G214" s="32"/>
      <c r="H214" s="32"/>
      <c r="I214" s="154"/>
      <c r="J214" s="32"/>
      <c r="L214" s="139"/>
      <c r="M214" s="133"/>
    </row>
    <row r="215" spans="1:15" ht="15.5" x14ac:dyDescent="0.35">
      <c r="A215" s="156" t="s">
        <v>119</v>
      </c>
      <c r="B215" s="165" t="s">
        <v>142</v>
      </c>
      <c r="C215" s="140">
        <v>3099785.09</v>
      </c>
      <c r="E215" s="150" t="s">
        <v>156</v>
      </c>
      <c r="F215" s="140">
        <v>3099785.09</v>
      </c>
      <c r="G215" s="135">
        <v>3.54</v>
      </c>
      <c r="H215" s="167">
        <v>100</v>
      </c>
      <c r="I215" s="164" t="s">
        <v>142</v>
      </c>
      <c r="J215" s="134" t="s">
        <v>148</v>
      </c>
      <c r="L215" s="139">
        <v>100</v>
      </c>
      <c r="M215" s="140">
        <f>SUM(L215*F215)/100</f>
        <v>3099785.09</v>
      </c>
    </row>
    <row r="216" spans="1:15" ht="15.5" x14ac:dyDescent="0.35">
      <c r="C216" s="133"/>
      <c r="E216" s="32"/>
      <c r="F216" s="133"/>
      <c r="G216" s="32"/>
      <c r="H216" s="32"/>
      <c r="I216" s="154"/>
      <c r="J216" s="32"/>
      <c r="L216" s="139"/>
      <c r="M216" s="133"/>
    </row>
    <row r="217" spans="1:15" ht="16" thickBot="1" x14ac:dyDescent="0.4">
      <c r="B217" s="156" t="s">
        <v>157</v>
      </c>
      <c r="C217" s="143">
        <f>SUM(C215:C216)</f>
        <v>3099785.09</v>
      </c>
      <c r="E217" s="32"/>
      <c r="F217" s="143">
        <f>SUM(F215:F216)</f>
        <v>3099785.09</v>
      </c>
      <c r="G217" s="32"/>
      <c r="H217" s="32"/>
      <c r="I217" s="154"/>
      <c r="J217" s="32"/>
      <c r="L217" s="139"/>
      <c r="M217" s="143">
        <f>SUM(M215:M216)</f>
        <v>3099785.09</v>
      </c>
    </row>
    <row r="218" spans="1:15" ht="16" thickTop="1" x14ac:dyDescent="0.35">
      <c r="C218" s="133"/>
      <c r="E218" s="32"/>
      <c r="F218" s="133"/>
      <c r="G218" s="32"/>
      <c r="H218" s="32"/>
      <c r="I218" s="154"/>
      <c r="J218" s="32"/>
      <c r="L218" s="139"/>
      <c r="M218" s="133"/>
    </row>
    <row r="219" spans="1:15" ht="15.5" x14ac:dyDescent="0.35">
      <c r="B219" s="156" t="s">
        <v>158</v>
      </c>
      <c r="C219" s="133"/>
      <c r="E219" s="32"/>
      <c r="F219" s="133"/>
      <c r="G219" s="32"/>
      <c r="H219" s="32"/>
      <c r="I219" s="154"/>
      <c r="J219" s="32"/>
      <c r="L219" s="139"/>
      <c r="M219" s="133"/>
    </row>
    <row r="220" spans="1:15" ht="15.5" x14ac:dyDescent="0.35">
      <c r="B220" s="156"/>
      <c r="C220" s="133" t="s">
        <v>21</v>
      </c>
      <c r="E220" s="32"/>
      <c r="F220" s="133"/>
      <c r="G220" s="156" t="s">
        <v>21</v>
      </c>
      <c r="H220" s="32"/>
      <c r="I220" s="154"/>
      <c r="J220" s="32"/>
      <c r="L220" s="139"/>
      <c r="M220" s="133"/>
    </row>
    <row r="221" spans="1:15" ht="15.5" x14ac:dyDescent="0.35">
      <c r="A221" s="156" t="s">
        <v>119</v>
      </c>
      <c r="B221" s="166">
        <f>+B14</f>
        <v>46204</v>
      </c>
      <c r="C221" s="133">
        <v>12920837.949999999</v>
      </c>
      <c r="E221" s="150" t="s">
        <v>153</v>
      </c>
      <c r="F221" s="133">
        <v>12920837.960000001</v>
      </c>
      <c r="G221" s="135">
        <v>3.54</v>
      </c>
      <c r="H221" s="167">
        <v>100</v>
      </c>
      <c r="I221" s="164" t="s">
        <v>142</v>
      </c>
      <c r="J221" s="134" t="s">
        <v>112</v>
      </c>
      <c r="L221" s="139">
        <v>100</v>
      </c>
      <c r="M221" s="133">
        <f t="shared" ref="M221:M222" si="6">SUM(L221*F221)/100</f>
        <v>12920837.960000001</v>
      </c>
    </row>
    <row r="222" spans="1:15" ht="15.5" x14ac:dyDescent="0.35">
      <c r="B222" s="138">
        <v>46296</v>
      </c>
      <c r="C222" s="140"/>
      <c r="E222" s="134" t="s">
        <v>96</v>
      </c>
      <c r="F222" s="140">
        <v>35000</v>
      </c>
      <c r="G222" s="135">
        <v>4.5880000000000001</v>
      </c>
      <c r="H222" s="136">
        <v>100</v>
      </c>
      <c r="I222" s="137">
        <v>45279</v>
      </c>
      <c r="J222" s="134" t="s">
        <v>95</v>
      </c>
      <c r="L222" s="139">
        <f>35033.95/350</f>
        <v>100.09699999999999</v>
      </c>
      <c r="M222" s="140">
        <f t="shared" si="6"/>
        <v>35033.949999999997</v>
      </c>
    </row>
    <row r="223" spans="1:15" ht="15.5" x14ac:dyDescent="0.35">
      <c r="B223" s="156"/>
      <c r="C223" s="133"/>
      <c r="E223" s="32" t="s">
        <v>21</v>
      </c>
      <c r="F223" s="133"/>
      <c r="G223" s="32"/>
      <c r="H223" s="32"/>
      <c r="I223" s="154"/>
      <c r="J223" s="32"/>
      <c r="L223" s="139"/>
      <c r="M223" s="133" t="s">
        <v>21</v>
      </c>
    </row>
    <row r="224" spans="1:15" ht="16" thickBot="1" x14ac:dyDescent="0.4">
      <c r="B224" s="156" t="s">
        <v>159</v>
      </c>
      <c r="C224" s="143">
        <f>SUM(C221:C223)</f>
        <v>12920837.949999999</v>
      </c>
      <c r="E224" s="32"/>
      <c r="F224" s="143">
        <f>SUM(F221:F223)</f>
        <v>12955837.960000001</v>
      </c>
      <c r="G224" s="32"/>
      <c r="H224" s="32"/>
      <c r="I224" s="154"/>
      <c r="J224" s="32"/>
      <c r="L224" s="139"/>
      <c r="M224" s="143">
        <f>SUM(M221:M223)</f>
        <v>12955871.91</v>
      </c>
      <c r="N224" s="25"/>
      <c r="O224" s="25"/>
    </row>
    <row r="225" spans="1:15" ht="16" thickTop="1" x14ac:dyDescent="0.35">
      <c r="B225" s="156"/>
      <c r="C225" s="133"/>
      <c r="E225" s="32"/>
      <c r="F225" s="133"/>
      <c r="G225" s="133"/>
      <c r="H225" s="32"/>
      <c r="I225" s="154"/>
      <c r="J225" s="32"/>
      <c r="L225" s="139"/>
      <c r="M225" s="133" t="s">
        <v>21</v>
      </c>
      <c r="N225" s="25"/>
    </row>
    <row r="226" spans="1:15" ht="15.5" x14ac:dyDescent="0.35">
      <c r="B226" s="156"/>
      <c r="C226" s="133"/>
      <c r="E226" s="32"/>
      <c r="F226" s="133"/>
      <c r="G226" s="133"/>
      <c r="H226" s="32"/>
      <c r="I226" s="154"/>
      <c r="J226" s="32"/>
      <c r="L226" s="139"/>
      <c r="M226" s="133"/>
    </row>
    <row r="227" spans="1:15" ht="15.5" x14ac:dyDescent="0.35">
      <c r="B227" s="130" t="s">
        <v>160</v>
      </c>
      <c r="C227" s="133"/>
      <c r="E227" s="32"/>
      <c r="F227" s="133"/>
      <c r="G227" s="32"/>
      <c r="H227" s="32"/>
      <c r="I227" s="154"/>
      <c r="J227" s="32"/>
      <c r="L227" s="139"/>
      <c r="M227" s="133"/>
    </row>
    <row r="228" spans="1:15" ht="15.5" x14ac:dyDescent="0.35">
      <c r="B228" s="156"/>
      <c r="C228" s="133"/>
      <c r="E228" s="32"/>
      <c r="F228" s="133"/>
      <c r="G228" s="32"/>
      <c r="H228" s="32"/>
      <c r="I228" s="154"/>
      <c r="J228" s="32"/>
      <c r="L228" s="139"/>
      <c r="M228" s="133"/>
    </row>
    <row r="229" spans="1:15" ht="15.5" x14ac:dyDescent="0.35">
      <c r="B229" s="156" t="s">
        <v>161</v>
      </c>
      <c r="C229" s="133"/>
      <c r="E229" s="133" t="s">
        <v>21</v>
      </c>
      <c r="F229" s="133"/>
      <c r="G229" s="32"/>
      <c r="H229" s="32"/>
      <c r="I229" s="154"/>
      <c r="J229" s="32"/>
      <c r="L229" s="139"/>
      <c r="M229" s="133"/>
    </row>
    <row r="230" spans="1:15" ht="15.5" x14ac:dyDescent="0.35">
      <c r="B230" s="156"/>
      <c r="C230" s="133"/>
      <c r="E230" s="133" t="s">
        <v>21</v>
      </c>
      <c r="F230" s="133"/>
      <c r="G230" s="32"/>
      <c r="H230" s="32"/>
      <c r="I230" s="154"/>
      <c r="J230" s="32"/>
      <c r="L230" s="139"/>
      <c r="M230" s="133"/>
    </row>
    <row r="231" spans="1:15" ht="15.5" x14ac:dyDescent="0.35">
      <c r="A231" s="156" t="s">
        <v>119</v>
      </c>
      <c r="B231" s="156" t="s">
        <v>142</v>
      </c>
      <c r="C231" s="140">
        <v>0</v>
      </c>
      <c r="E231" s="150" t="s">
        <v>162</v>
      </c>
      <c r="F231" s="140">
        <v>0</v>
      </c>
      <c r="G231" s="168">
        <v>0</v>
      </c>
      <c r="H231" s="169">
        <v>100</v>
      </c>
      <c r="I231" s="164" t="s">
        <v>142</v>
      </c>
      <c r="J231" s="150" t="s">
        <v>163</v>
      </c>
      <c r="L231" s="139">
        <v>100</v>
      </c>
      <c r="M231" s="140">
        <f>SUM(L231*F231)/100</f>
        <v>0</v>
      </c>
    </row>
    <row r="232" spans="1:15" ht="15.5" x14ac:dyDescent="0.35">
      <c r="B232" s="156"/>
      <c r="C232" s="133"/>
      <c r="E232" s="32"/>
      <c r="F232" s="133" t="s">
        <v>21</v>
      </c>
      <c r="G232" s="32"/>
      <c r="H232" s="32"/>
      <c r="I232" s="154"/>
      <c r="J232" s="32"/>
      <c r="L232" s="139"/>
      <c r="M232" s="133"/>
    </row>
    <row r="233" spans="1:15" ht="15.5" x14ac:dyDescent="0.35">
      <c r="B233" s="156" t="s">
        <v>21</v>
      </c>
      <c r="C233" s="140">
        <f>SUM(C231:C232)</f>
        <v>0</v>
      </c>
      <c r="E233" s="32"/>
      <c r="F233" s="140">
        <f>SUM(F231:F232)</f>
        <v>0</v>
      </c>
      <c r="G233" s="32"/>
      <c r="H233" s="32"/>
      <c r="I233" s="154"/>
      <c r="J233" s="32"/>
      <c r="L233" s="139"/>
      <c r="M233" s="140">
        <f>SUM(M231:M232)</f>
        <v>0</v>
      </c>
    </row>
    <row r="234" spans="1:15" ht="15.5" x14ac:dyDescent="0.35">
      <c r="B234" s="156"/>
      <c r="C234" s="133"/>
      <c r="E234" s="32"/>
      <c r="F234" s="133"/>
      <c r="G234" s="32"/>
      <c r="H234" s="32"/>
      <c r="I234" s="154"/>
      <c r="J234" s="32"/>
      <c r="L234" s="139"/>
      <c r="M234" s="133"/>
    </row>
    <row r="235" spans="1:15" ht="15.5" x14ac:dyDescent="0.35">
      <c r="B235" s="156" t="s">
        <v>164</v>
      </c>
      <c r="C235" s="133"/>
      <c r="E235" s="32" t="s">
        <v>21</v>
      </c>
      <c r="F235" s="133"/>
      <c r="G235" s="32"/>
      <c r="H235" s="32"/>
      <c r="I235" s="154"/>
      <c r="J235" s="32"/>
      <c r="L235" s="139"/>
      <c r="M235" s="133"/>
    </row>
    <row r="236" spans="1:15" ht="15.5" x14ac:dyDescent="0.35">
      <c r="B236" s="156"/>
      <c r="C236" s="133"/>
      <c r="E236" s="32"/>
      <c r="F236" s="133"/>
      <c r="G236" s="32"/>
      <c r="H236" s="32"/>
      <c r="I236" s="154"/>
      <c r="J236" s="32"/>
      <c r="L236" s="139"/>
      <c r="M236" s="133"/>
    </row>
    <row r="237" spans="1:15" ht="15.5" x14ac:dyDescent="0.35">
      <c r="A237" s="156" t="s">
        <v>119</v>
      </c>
      <c r="B237" s="156" t="s">
        <v>142</v>
      </c>
      <c r="C237" s="133">
        <v>3849722.2</v>
      </c>
      <c r="E237" s="150" t="s">
        <v>162</v>
      </c>
      <c r="F237" s="133">
        <v>3489722.2</v>
      </c>
      <c r="G237" s="168">
        <v>3.71</v>
      </c>
      <c r="H237" s="136">
        <v>100</v>
      </c>
      <c r="I237" s="164" t="s">
        <v>142</v>
      </c>
      <c r="J237" s="150" t="s">
        <v>163</v>
      </c>
      <c r="L237" s="139">
        <v>100</v>
      </c>
      <c r="M237" s="133">
        <f t="shared" ref="M237:M238" si="7">SUM(L237*F237)/100</f>
        <v>3489722.2</v>
      </c>
    </row>
    <row r="238" spans="1:15" ht="15.5" x14ac:dyDescent="0.35">
      <c r="B238" s="138">
        <v>46296</v>
      </c>
      <c r="C238" s="140"/>
      <c r="E238" s="134" t="s">
        <v>96</v>
      </c>
      <c r="F238" s="140">
        <v>30000</v>
      </c>
      <c r="G238" s="135">
        <v>4.5880000000000001</v>
      </c>
      <c r="H238" s="136">
        <v>100</v>
      </c>
      <c r="I238" s="137">
        <v>45279</v>
      </c>
      <c r="J238" s="134" t="s">
        <v>95</v>
      </c>
      <c r="L238" s="139">
        <f>30029.1/300</f>
        <v>100.09699999999999</v>
      </c>
      <c r="M238" s="133">
        <f t="shared" si="7"/>
        <v>30029.1</v>
      </c>
      <c r="N238" s="25"/>
    </row>
    <row r="239" spans="1:15" ht="15.5" x14ac:dyDescent="0.35">
      <c r="B239" s="160"/>
      <c r="C239" s="133"/>
      <c r="E239" s="32"/>
      <c r="F239" s="133"/>
      <c r="G239" s="32"/>
      <c r="H239" s="32"/>
      <c r="I239" s="154"/>
      <c r="J239" s="32"/>
      <c r="L239" s="139"/>
      <c r="M239" s="133"/>
      <c r="N239" s="25"/>
    </row>
    <row r="240" spans="1:15" ht="15.5" x14ac:dyDescent="0.35">
      <c r="B240" s="156" t="s">
        <v>165</v>
      </c>
      <c r="C240" s="140">
        <f>SUM(C237:C239)</f>
        <v>3849722.2</v>
      </c>
      <c r="E240" s="32"/>
      <c r="F240" s="140">
        <f>SUM(F237:F238)</f>
        <v>3519722.2</v>
      </c>
      <c r="G240" s="32"/>
      <c r="H240" s="32"/>
      <c r="I240" s="154"/>
      <c r="J240" s="32"/>
      <c r="L240" s="139"/>
      <c r="M240" s="140">
        <f>SUM(M237:M238)</f>
        <v>3519751.3000000003</v>
      </c>
      <c r="N240" s="25"/>
      <c r="O240" s="25"/>
    </row>
    <row r="241" spans="1:14" ht="15.5" x14ac:dyDescent="0.35">
      <c r="B241" s="156"/>
      <c r="C241" s="133"/>
      <c r="E241" s="32"/>
      <c r="F241" s="133" t="s">
        <v>21</v>
      </c>
      <c r="G241" s="32"/>
      <c r="H241" s="32"/>
      <c r="I241" s="154"/>
      <c r="J241" s="32"/>
      <c r="L241" s="139"/>
      <c r="M241" s="133"/>
    </row>
    <row r="242" spans="1:14" ht="15.5" x14ac:dyDescent="0.35">
      <c r="B242" s="156" t="s">
        <v>166</v>
      </c>
      <c r="C242" s="133"/>
      <c r="E242" s="32"/>
      <c r="F242" s="133"/>
      <c r="G242" s="32"/>
      <c r="H242" s="32"/>
      <c r="I242" s="154"/>
      <c r="J242" s="32"/>
      <c r="L242" s="139"/>
      <c r="M242" s="133"/>
    </row>
    <row r="243" spans="1:14" ht="15.5" x14ac:dyDescent="0.35">
      <c r="B243" s="156"/>
      <c r="C243" s="133"/>
      <c r="E243" s="32"/>
      <c r="F243" s="133"/>
      <c r="G243" s="32"/>
      <c r="H243" s="32"/>
      <c r="I243" s="154"/>
      <c r="J243" s="32"/>
      <c r="L243" s="139"/>
      <c r="M243" s="133"/>
    </row>
    <row r="244" spans="1:14" ht="15.5" x14ac:dyDescent="0.35">
      <c r="A244" s="156" t="s">
        <v>119</v>
      </c>
      <c r="B244" s="156" t="s">
        <v>142</v>
      </c>
      <c r="C244" s="140">
        <v>0</v>
      </c>
      <c r="E244" s="150" t="s">
        <v>162</v>
      </c>
      <c r="F244" s="140">
        <v>0</v>
      </c>
      <c r="G244" s="168">
        <v>5</v>
      </c>
      <c r="H244" s="169">
        <v>100</v>
      </c>
      <c r="I244" s="164" t="s">
        <v>142</v>
      </c>
      <c r="J244" s="150" t="s">
        <v>163</v>
      </c>
      <c r="L244" s="139">
        <v>100</v>
      </c>
      <c r="M244" s="140">
        <f>SUM(L244*F244)/100</f>
        <v>0</v>
      </c>
    </row>
    <row r="245" spans="1:14" ht="15.5" x14ac:dyDescent="0.35">
      <c r="B245" s="147"/>
      <c r="C245" s="133"/>
      <c r="E245" s="150"/>
      <c r="F245" s="133"/>
      <c r="G245" s="168" t="s">
        <v>21</v>
      </c>
      <c r="H245" s="169"/>
      <c r="I245" s="164"/>
      <c r="J245" s="150"/>
      <c r="L245" s="139"/>
      <c r="M245" s="133"/>
    </row>
    <row r="246" spans="1:14" ht="15.5" x14ac:dyDescent="0.35">
      <c r="B246" s="156" t="s">
        <v>165</v>
      </c>
      <c r="C246" s="140">
        <f>SUM(C244:C244)</f>
        <v>0</v>
      </c>
      <c r="E246" s="32"/>
      <c r="F246" s="140">
        <f>SUM(F244:F244)</f>
        <v>0</v>
      </c>
      <c r="G246" s="32" t="s">
        <v>21</v>
      </c>
      <c r="H246" s="32"/>
      <c r="I246" s="154"/>
      <c r="J246" s="32"/>
      <c r="L246" s="139"/>
      <c r="M246" s="140">
        <f>SUM(M244:M244)</f>
        <v>0</v>
      </c>
      <c r="N246" s="25"/>
    </row>
    <row r="247" spans="1:14" ht="15.5" x14ac:dyDescent="0.35">
      <c r="B247" s="156"/>
      <c r="C247" s="133"/>
      <c r="E247" s="32"/>
      <c r="F247" s="133"/>
      <c r="G247" s="32"/>
      <c r="H247" s="32"/>
      <c r="I247" s="154"/>
      <c r="J247" s="32"/>
      <c r="L247" s="139"/>
      <c r="M247" s="133"/>
    </row>
    <row r="248" spans="1:14" ht="15.5" x14ac:dyDescent="0.35">
      <c r="B248" s="156" t="s">
        <v>167</v>
      </c>
      <c r="C248" s="133" t="s">
        <v>21</v>
      </c>
      <c r="E248" s="32"/>
      <c r="F248" s="133"/>
      <c r="G248" s="32"/>
      <c r="H248" s="32"/>
      <c r="I248" s="154"/>
      <c r="J248" s="32"/>
      <c r="L248" s="139"/>
      <c r="M248" s="133"/>
    </row>
    <row r="249" spans="1:14" ht="15.5" x14ac:dyDescent="0.35">
      <c r="B249" s="156"/>
      <c r="C249" s="133"/>
      <c r="E249" s="32"/>
      <c r="F249" s="133"/>
      <c r="G249" s="32"/>
      <c r="H249" s="32"/>
      <c r="I249" s="154"/>
      <c r="J249" s="32"/>
      <c r="L249" s="139"/>
      <c r="M249" s="133"/>
    </row>
    <row r="250" spans="1:14" ht="15.5" x14ac:dyDescent="0.35">
      <c r="A250" s="156" t="s">
        <v>119</v>
      </c>
      <c r="B250" s="156" t="s">
        <v>142</v>
      </c>
      <c r="C250" s="140">
        <v>56.59</v>
      </c>
      <c r="E250" s="150" t="s">
        <v>168</v>
      </c>
      <c r="F250" s="140">
        <v>56.59</v>
      </c>
      <c r="G250" s="168">
        <v>3.71</v>
      </c>
      <c r="H250" s="169">
        <v>100</v>
      </c>
      <c r="I250" s="164" t="s">
        <v>142</v>
      </c>
      <c r="J250" s="150" t="s">
        <v>163</v>
      </c>
      <c r="L250" s="139">
        <v>100</v>
      </c>
      <c r="M250" s="140">
        <f>SUM(L250*F250)/100</f>
        <v>56.59</v>
      </c>
    </row>
    <row r="251" spans="1:14" ht="15.5" x14ac:dyDescent="0.35">
      <c r="B251" s="156"/>
      <c r="C251" s="133"/>
      <c r="E251" s="32"/>
      <c r="F251" s="133"/>
      <c r="G251" s="32"/>
      <c r="H251" s="32"/>
      <c r="I251" s="154"/>
      <c r="J251" s="32"/>
      <c r="L251" s="139"/>
      <c r="M251" s="133"/>
    </row>
    <row r="252" spans="1:14" ht="15.5" x14ac:dyDescent="0.35">
      <c r="B252" s="156" t="s">
        <v>165</v>
      </c>
      <c r="C252" s="140">
        <f>SUM(C250:C251)</f>
        <v>56.59</v>
      </c>
      <c r="E252" s="32"/>
      <c r="F252" s="140">
        <f>SUM(F250:F251)</f>
        <v>56.59</v>
      </c>
      <c r="G252" s="32"/>
      <c r="H252" s="32"/>
      <c r="I252" s="154"/>
      <c r="J252" s="32"/>
      <c r="L252" s="139"/>
      <c r="M252" s="140">
        <f>SUM(M250:M251)</f>
        <v>56.59</v>
      </c>
    </row>
    <row r="253" spans="1:14" ht="15.5" x14ac:dyDescent="0.35">
      <c r="B253" s="156"/>
      <c r="C253" s="133"/>
      <c r="E253" s="32"/>
      <c r="F253" s="133"/>
      <c r="G253" s="32"/>
      <c r="H253" s="32"/>
      <c r="I253" s="154"/>
      <c r="J253" s="32"/>
      <c r="L253" s="139"/>
      <c r="M253" s="133"/>
    </row>
    <row r="254" spans="1:14" ht="16" thickBot="1" x14ac:dyDescent="0.4">
      <c r="B254" s="156" t="s">
        <v>169</v>
      </c>
      <c r="C254" s="143">
        <f>SUM(C233+C240+C246+C252)</f>
        <v>3849778.79</v>
      </c>
      <c r="E254" s="32"/>
      <c r="F254" s="143">
        <f>SUM(F233+F240+F246+F252)</f>
        <v>3519778.79</v>
      </c>
      <c r="G254" s="32"/>
      <c r="H254" s="32"/>
      <c r="I254" s="154"/>
      <c r="J254" s="32"/>
      <c r="L254" s="139"/>
      <c r="M254" s="143">
        <f>SUM(M233+M240+M246+M252)</f>
        <v>3519807.89</v>
      </c>
    </row>
    <row r="255" spans="1:14" ht="16" thickTop="1" x14ac:dyDescent="0.35">
      <c r="B255" s="156"/>
      <c r="C255" s="133"/>
      <c r="E255" s="32"/>
      <c r="F255" s="133"/>
      <c r="G255" s="32"/>
      <c r="H255" s="32"/>
      <c r="I255" s="154"/>
      <c r="J255" s="32"/>
      <c r="L255" s="139"/>
      <c r="M255" s="133"/>
    </row>
    <row r="256" spans="1:14" ht="15.5" x14ac:dyDescent="0.35">
      <c r="B256" s="156" t="s">
        <v>170</v>
      </c>
      <c r="C256" s="133"/>
      <c r="E256" s="32"/>
      <c r="F256" s="133"/>
      <c r="G256" s="32"/>
      <c r="H256" s="32"/>
      <c r="I256" s="154"/>
      <c r="J256" s="32"/>
      <c r="L256" s="139"/>
      <c r="M256" s="133"/>
    </row>
    <row r="257" spans="1:13" ht="15.5" x14ac:dyDescent="0.35">
      <c r="B257" s="156"/>
      <c r="C257" s="133"/>
      <c r="E257" s="32"/>
      <c r="F257" s="133"/>
      <c r="G257" s="32"/>
      <c r="H257" s="32"/>
      <c r="I257" s="154"/>
      <c r="J257" s="32"/>
      <c r="L257" s="139"/>
      <c r="M257" s="133"/>
    </row>
    <row r="258" spans="1:13" ht="15.5" x14ac:dyDescent="0.35">
      <c r="A258" s="156" t="s">
        <v>119</v>
      </c>
      <c r="B258" s="156" t="s">
        <v>142</v>
      </c>
      <c r="C258" s="140">
        <v>2691.3</v>
      </c>
      <c r="E258" s="150" t="s">
        <v>162</v>
      </c>
      <c r="F258" s="140">
        <v>2691.3</v>
      </c>
      <c r="G258" s="168">
        <v>3.71</v>
      </c>
      <c r="H258" s="169">
        <v>100</v>
      </c>
      <c r="I258" s="164" t="s">
        <v>142</v>
      </c>
      <c r="J258" s="150" t="s">
        <v>163</v>
      </c>
      <c r="L258" s="139">
        <v>100</v>
      </c>
      <c r="M258" s="140">
        <f>SUM(L258*F258)/100</f>
        <v>2691.3</v>
      </c>
    </row>
    <row r="259" spans="1:13" ht="15.5" x14ac:dyDescent="0.35">
      <c r="B259" s="156"/>
      <c r="C259" s="133"/>
      <c r="E259" s="32"/>
      <c r="F259" s="133"/>
      <c r="G259" s="32"/>
      <c r="H259" s="32"/>
      <c r="I259" s="154"/>
      <c r="J259" s="32"/>
      <c r="L259" s="139"/>
      <c r="M259" s="133"/>
    </row>
    <row r="260" spans="1:13" ht="16" thickBot="1" x14ac:dyDescent="0.4">
      <c r="B260" s="156" t="s">
        <v>165</v>
      </c>
      <c r="C260" s="143">
        <f>SUM(C258:C259)</f>
        <v>2691.3</v>
      </c>
      <c r="E260" s="32"/>
      <c r="F260" s="143">
        <f>SUM(F258:F259)</f>
        <v>2691.3</v>
      </c>
      <c r="G260" s="32"/>
      <c r="H260" s="32"/>
      <c r="I260" s="154"/>
      <c r="J260" s="32"/>
      <c r="L260" s="139"/>
      <c r="M260" s="143">
        <f>SUM(M258:M259)</f>
        <v>2691.3</v>
      </c>
    </row>
    <row r="261" spans="1:13" ht="16" thickTop="1" x14ac:dyDescent="0.35">
      <c r="B261" s="156"/>
      <c r="C261" s="133"/>
      <c r="E261" s="32"/>
      <c r="F261" s="133"/>
      <c r="G261" s="32"/>
      <c r="H261" s="32"/>
      <c r="I261" s="154"/>
      <c r="J261" s="32"/>
      <c r="L261" s="139"/>
      <c r="M261" s="133"/>
    </row>
    <row r="262" spans="1:13" ht="15.5" x14ac:dyDescent="0.35">
      <c r="B262" s="130" t="s">
        <v>171</v>
      </c>
      <c r="C262" s="133"/>
      <c r="E262" s="32"/>
      <c r="F262" s="133"/>
      <c r="G262" s="32"/>
      <c r="H262" s="32"/>
      <c r="I262" s="154"/>
      <c r="J262" s="32"/>
      <c r="L262" s="139"/>
      <c r="M262" s="133"/>
    </row>
    <row r="263" spans="1:13" ht="15.5" x14ac:dyDescent="0.35">
      <c r="B263" s="156"/>
      <c r="C263" s="133"/>
      <c r="E263" s="32"/>
      <c r="F263" s="133"/>
      <c r="G263" s="32"/>
      <c r="H263" s="32"/>
      <c r="I263" s="154"/>
      <c r="J263" s="32"/>
      <c r="L263" s="139"/>
      <c r="M263" s="133"/>
    </row>
    <row r="264" spans="1:13" ht="15.5" x14ac:dyDescent="0.35">
      <c r="B264" s="156" t="s">
        <v>172</v>
      </c>
      <c r="C264" s="133"/>
      <c r="E264" s="133" t="s">
        <v>21</v>
      </c>
      <c r="F264" s="133"/>
      <c r="G264" s="32"/>
      <c r="H264" s="32"/>
      <c r="I264" s="154"/>
      <c r="J264" s="32"/>
      <c r="L264" s="139"/>
      <c r="M264" s="133"/>
    </row>
    <row r="265" spans="1:13" ht="15.5" x14ac:dyDescent="0.35">
      <c r="B265" s="156"/>
      <c r="C265" s="133"/>
      <c r="E265" s="133" t="s">
        <v>21</v>
      </c>
      <c r="F265" s="133"/>
      <c r="G265" s="32"/>
      <c r="H265" s="32"/>
      <c r="I265" s="154"/>
      <c r="J265" s="32"/>
      <c r="L265" s="139"/>
      <c r="M265" s="133"/>
    </row>
    <row r="266" spans="1:13" ht="15.5" x14ac:dyDescent="0.35">
      <c r="A266" s="156" t="s">
        <v>119</v>
      </c>
      <c r="B266" s="156" t="s">
        <v>142</v>
      </c>
      <c r="C266" s="140">
        <v>5225101.42</v>
      </c>
      <c r="E266" s="150" t="s">
        <v>168</v>
      </c>
      <c r="F266" s="140">
        <v>5225101.42</v>
      </c>
      <c r="G266" s="168">
        <v>3.71</v>
      </c>
      <c r="H266" s="169">
        <v>100</v>
      </c>
      <c r="I266" s="164" t="s">
        <v>142</v>
      </c>
      <c r="J266" s="150" t="s">
        <v>163</v>
      </c>
      <c r="L266" s="139">
        <v>100</v>
      </c>
      <c r="M266" s="140">
        <f>SUM(L266*F266)/100</f>
        <v>5225101.42</v>
      </c>
    </row>
    <row r="267" spans="1:13" ht="15.5" x14ac:dyDescent="0.35">
      <c r="B267" s="156"/>
      <c r="C267" s="133"/>
      <c r="E267" s="32"/>
      <c r="F267" s="133"/>
      <c r="G267" s="32"/>
      <c r="H267" s="32"/>
      <c r="I267" s="154"/>
      <c r="J267" s="32"/>
      <c r="L267" s="139"/>
      <c r="M267" s="133"/>
    </row>
    <row r="268" spans="1:13" ht="16" thickBot="1" x14ac:dyDescent="0.4">
      <c r="A268" s="2"/>
      <c r="B268" s="156" t="s">
        <v>165</v>
      </c>
      <c r="C268" s="143">
        <f>SUM(C266:C267)</f>
        <v>5225101.42</v>
      </c>
      <c r="E268" s="32"/>
      <c r="F268" s="143">
        <f>SUM(F266:F267)</f>
        <v>5225101.42</v>
      </c>
      <c r="G268" s="32"/>
      <c r="H268" s="32"/>
      <c r="I268" s="154"/>
      <c r="J268" s="32"/>
      <c r="L268" s="139"/>
      <c r="M268" s="143">
        <f>SUM(M266:M267)</f>
        <v>5225101.42</v>
      </c>
    </row>
    <row r="269" spans="1:13" ht="16" thickTop="1" x14ac:dyDescent="0.35">
      <c r="A269" s="2"/>
      <c r="B269" s="156"/>
      <c r="C269" s="133"/>
      <c r="E269" s="32"/>
      <c r="F269" s="133"/>
      <c r="G269" s="32"/>
      <c r="H269" s="32"/>
      <c r="I269" s="154"/>
      <c r="J269" s="32"/>
      <c r="L269" s="139"/>
      <c r="M269" s="133"/>
    </row>
    <row r="270" spans="1:13" ht="15.5" x14ac:dyDescent="0.35">
      <c r="A270" s="2"/>
      <c r="B270" s="156" t="s">
        <v>173</v>
      </c>
      <c r="C270" s="133"/>
      <c r="E270" s="32"/>
      <c r="F270" s="133"/>
      <c r="G270" s="32"/>
      <c r="H270" s="32"/>
      <c r="I270" s="154"/>
      <c r="J270" s="32"/>
      <c r="L270" s="139"/>
      <c r="M270" s="133"/>
    </row>
    <row r="271" spans="1:13" ht="15.5" x14ac:dyDescent="0.35">
      <c r="A271" s="2"/>
      <c r="B271" s="156"/>
      <c r="C271" s="133"/>
      <c r="E271" s="32"/>
      <c r="F271" s="133"/>
      <c r="G271" s="32"/>
      <c r="H271" s="32"/>
      <c r="I271" s="154"/>
      <c r="J271" s="32"/>
      <c r="L271" s="139"/>
      <c r="M271" s="133"/>
    </row>
    <row r="272" spans="1:13" ht="15.5" x14ac:dyDescent="0.35">
      <c r="A272" s="2"/>
      <c r="B272" s="156" t="s">
        <v>142</v>
      </c>
      <c r="C272" s="140">
        <v>1764243.37</v>
      </c>
      <c r="E272" s="150" t="s">
        <v>119</v>
      </c>
      <c r="F272" s="140">
        <v>1764243.37</v>
      </c>
      <c r="G272" s="135">
        <v>3.54</v>
      </c>
      <c r="H272" s="170">
        <v>100</v>
      </c>
      <c r="I272" s="164" t="s">
        <v>142</v>
      </c>
      <c r="J272" s="134" t="s">
        <v>148</v>
      </c>
      <c r="L272" s="139">
        <v>100</v>
      </c>
      <c r="M272" s="140">
        <f>SUM(L272*F272)/100</f>
        <v>1764243.37</v>
      </c>
    </row>
    <row r="273" spans="1:13" ht="15.5" x14ac:dyDescent="0.35">
      <c r="A273" s="2"/>
      <c r="B273" s="156" t="s">
        <v>21</v>
      </c>
      <c r="C273" s="133"/>
      <c r="E273" s="32"/>
      <c r="F273" s="133"/>
      <c r="G273" s="32"/>
      <c r="H273" s="169"/>
      <c r="I273" s="154"/>
      <c r="J273" s="32"/>
      <c r="L273" s="139"/>
      <c r="M273" s="133"/>
    </row>
    <row r="274" spans="1:13" ht="16" thickBot="1" x14ac:dyDescent="0.4">
      <c r="A274" s="2"/>
      <c r="B274" s="156"/>
      <c r="C274" s="143">
        <f>SUM(C271:C273)</f>
        <v>1764243.37</v>
      </c>
      <c r="E274" s="32"/>
      <c r="F274" s="143">
        <f>SUM(F271:F273)</f>
        <v>1764243.37</v>
      </c>
      <c r="G274" s="32"/>
      <c r="H274" s="169"/>
      <c r="I274" s="154"/>
      <c r="J274" s="32"/>
      <c r="L274" s="139"/>
      <c r="M274" s="143">
        <f>SUM(M271:M273)</f>
        <v>1764243.37</v>
      </c>
    </row>
    <row r="275" spans="1:13" ht="16" thickTop="1" x14ac:dyDescent="0.35">
      <c r="A275" s="2"/>
      <c r="B275" s="156"/>
      <c r="C275" s="133"/>
      <c r="E275" s="32"/>
      <c r="F275" s="133"/>
      <c r="G275" s="32"/>
      <c r="H275" s="169"/>
      <c r="I275" s="154"/>
      <c r="J275" s="32"/>
      <c r="L275" s="139"/>
      <c r="M275" s="133"/>
    </row>
    <row r="276" spans="1:13" ht="15.5" x14ac:dyDescent="0.35">
      <c r="A276" s="2"/>
      <c r="B276" s="156"/>
      <c r="C276" s="133"/>
      <c r="E276" s="32"/>
      <c r="F276" s="133"/>
      <c r="G276" s="32"/>
      <c r="H276" s="32"/>
      <c r="I276" s="154"/>
      <c r="J276" s="32"/>
      <c r="L276" s="139"/>
      <c r="M276" s="133"/>
    </row>
    <row r="277" spans="1:13" ht="15.5" x14ac:dyDescent="0.35">
      <c r="A277" s="2"/>
      <c r="B277" s="130" t="s">
        <v>174</v>
      </c>
      <c r="C277" s="133"/>
      <c r="E277" s="32"/>
      <c r="F277" s="133"/>
      <c r="G277" s="32"/>
      <c r="H277" s="32"/>
      <c r="I277" s="154"/>
      <c r="J277" s="32"/>
      <c r="L277" s="139"/>
      <c r="M277" s="133"/>
    </row>
    <row r="278" spans="1:13" ht="15.5" x14ac:dyDescent="0.35">
      <c r="A278" s="2"/>
      <c r="B278" s="156" t="s">
        <v>175</v>
      </c>
      <c r="C278" s="133"/>
      <c r="E278" s="32"/>
      <c r="F278" s="133"/>
      <c r="G278" s="32"/>
      <c r="H278" s="32"/>
      <c r="I278" s="154"/>
      <c r="J278" s="32"/>
      <c r="L278" s="139"/>
      <c r="M278" s="133"/>
    </row>
    <row r="279" spans="1:13" ht="15.5" x14ac:dyDescent="0.35">
      <c r="A279" s="2"/>
      <c r="B279" s="156"/>
      <c r="C279" s="133"/>
      <c r="E279" s="32"/>
      <c r="F279" s="133"/>
      <c r="G279" s="32"/>
      <c r="H279" s="32"/>
      <c r="I279" s="154"/>
      <c r="J279" s="32"/>
      <c r="L279" s="139"/>
      <c r="M279" s="133"/>
    </row>
    <row r="280" spans="1:13" ht="15.5" x14ac:dyDescent="0.35">
      <c r="A280" s="2"/>
      <c r="B280" s="156" t="s">
        <v>142</v>
      </c>
      <c r="C280" s="140">
        <v>1716312.32</v>
      </c>
      <c r="E280" s="150" t="s">
        <v>119</v>
      </c>
      <c r="F280" s="140">
        <v>1716312.32</v>
      </c>
      <c r="G280" s="135">
        <v>3.54</v>
      </c>
      <c r="H280" s="170">
        <v>100</v>
      </c>
      <c r="I280" s="164" t="s">
        <v>142</v>
      </c>
      <c r="J280" s="134" t="s">
        <v>148</v>
      </c>
      <c r="L280" s="139">
        <v>100</v>
      </c>
      <c r="M280" s="140">
        <f>SUM(L280*F280)/100</f>
        <v>1716312.32</v>
      </c>
    </row>
    <row r="281" spans="1:13" ht="15.5" x14ac:dyDescent="0.35">
      <c r="A281" s="2"/>
      <c r="B281" s="156"/>
      <c r="C281" s="133"/>
      <c r="E281" s="150"/>
      <c r="F281" s="133"/>
      <c r="G281" s="168"/>
      <c r="H281" s="169"/>
      <c r="I281" s="164"/>
      <c r="J281" s="134"/>
      <c r="L281" s="139"/>
      <c r="M281" s="133"/>
    </row>
    <row r="282" spans="1:13" ht="15.5" x14ac:dyDescent="0.35">
      <c r="A282" s="2"/>
      <c r="B282" s="156" t="s">
        <v>165</v>
      </c>
      <c r="C282" s="140">
        <f>SUM(C280:C281)</f>
        <v>1716312.32</v>
      </c>
      <c r="E282" s="32"/>
      <c r="F282" s="140">
        <f>SUM(F280:F281)</f>
        <v>1716312.32</v>
      </c>
      <c r="G282" s="32"/>
      <c r="H282" s="32"/>
      <c r="I282" s="154"/>
      <c r="J282" s="32"/>
      <c r="L282" s="139"/>
      <c r="M282" s="140">
        <f>SUM(M280:M281)</f>
        <v>1716312.32</v>
      </c>
    </row>
    <row r="283" spans="1:13" ht="15.5" x14ac:dyDescent="0.35">
      <c r="A283" s="2"/>
      <c r="B283" s="156"/>
      <c r="C283" s="133"/>
      <c r="E283" s="32"/>
      <c r="F283" s="133"/>
      <c r="G283" s="32"/>
      <c r="H283" s="169"/>
      <c r="I283" s="154"/>
      <c r="J283" s="32"/>
      <c r="L283" s="139"/>
      <c r="M283" s="133"/>
    </row>
    <row r="284" spans="1:13" ht="16" thickBot="1" x14ac:dyDescent="0.4">
      <c r="A284" s="2"/>
      <c r="B284" s="156" t="s">
        <v>176</v>
      </c>
      <c r="C284" s="143">
        <f>+C282</f>
        <v>1716312.32</v>
      </c>
      <c r="E284" s="32"/>
      <c r="F284" s="143">
        <f>+F282</f>
        <v>1716312.32</v>
      </c>
      <c r="G284" s="32"/>
      <c r="H284" s="32"/>
      <c r="I284" s="154"/>
      <c r="J284" s="32"/>
      <c r="L284" s="139"/>
      <c r="M284" s="143">
        <f>+M282</f>
        <v>1716312.32</v>
      </c>
    </row>
    <row r="285" spans="1:13" ht="16" thickTop="1" x14ac:dyDescent="0.35">
      <c r="A285" s="2"/>
      <c r="B285" s="156"/>
      <c r="C285" s="133"/>
      <c r="E285" s="32"/>
      <c r="F285" s="133"/>
      <c r="G285" s="32"/>
      <c r="H285" s="32"/>
      <c r="I285" s="154"/>
      <c r="J285" s="32"/>
      <c r="L285" s="139"/>
      <c r="M285" s="133"/>
    </row>
    <row r="286" spans="1:13" ht="15.5" x14ac:dyDescent="0.35">
      <c r="A286" s="2"/>
      <c r="B286" s="156" t="s">
        <v>177</v>
      </c>
      <c r="C286" s="133"/>
      <c r="E286" s="32"/>
      <c r="F286" s="133"/>
      <c r="G286" s="32"/>
      <c r="H286" s="32"/>
      <c r="I286" s="154"/>
      <c r="J286" s="32"/>
      <c r="L286" s="139"/>
      <c r="M286" s="133"/>
    </row>
    <row r="287" spans="1:13" ht="15.5" x14ac:dyDescent="0.35">
      <c r="A287" s="2"/>
      <c r="B287" s="156"/>
      <c r="C287" s="133"/>
      <c r="E287" s="32"/>
      <c r="F287" s="133"/>
      <c r="G287" s="32"/>
      <c r="H287" s="32"/>
      <c r="I287" s="154"/>
      <c r="J287" s="32"/>
      <c r="L287" s="139"/>
      <c r="M287" s="133"/>
    </row>
    <row r="288" spans="1:13" ht="15.5" x14ac:dyDescent="0.35">
      <c r="A288" s="2"/>
      <c r="B288" s="156" t="s">
        <v>142</v>
      </c>
      <c r="C288" s="140">
        <v>65805.91</v>
      </c>
      <c r="E288" s="150" t="s">
        <v>119</v>
      </c>
      <c r="F288" s="140">
        <v>65805.91</v>
      </c>
      <c r="G288" s="135">
        <v>3.54</v>
      </c>
      <c r="H288" s="170">
        <v>100</v>
      </c>
      <c r="I288" s="164" t="s">
        <v>142</v>
      </c>
      <c r="J288" s="134" t="s">
        <v>148</v>
      </c>
      <c r="L288" s="139">
        <v>100</v>
      </c>
      <c r="M288" s="140">
        <f>SUM(L288*F288)/100</f>
        <v>65805.91</v>
      </c>
    </row>
    <row r="289" spans="1:13" ht="15.5" x14ac:dyDescent="0.35">
      <c r="A289" s="2"/>
      <c r="B289" s="156"/>
      <c r="C289" s="133"/>
      <c r="E289" s="150"/>
      <c r="F289" s="133"/>
      <c r="G289" s="168"/>
      <c r="H289" s="169"/>
      <c r="I289" s="164"/>
      <c r="J289" s="134"/>
      <c r="L289" s="139"/>
      <c r="M289" s="133"/>
    </row>
    <row r="290" spans="1:13" ht="15.5" x14ac:dyDescent="0.35">
      <c r="A290" s="2"/>
      <c r="B290" s="156" t="s">
        <v>165</v>
      </c>
      <c r="C290" s="140">
        <f>SUM(C288:C289)</f>
        <v>65805.91</v>
      </c>
      <c r="E290" s="32"/>
      <c r="F290" s="140">
        <f>SUM(F288:F289)</f>
        <v>65805.91</v>
      </c>
      <c r="G290" s="32"/>
      <c r="H290" s="32"/>
      <c r="I290" s="154"/>
      <c r="J290" s="32"/>
      <c r="L290" s="139"/>
      <c r="M290" s="140">
        <f>SUM(M288:M289)</f>
        <v>65805.91</v>
      </c>
    </row>
    <row r="291" spans="1:13" ht="15.5" x14ac:dyDescent="0.35">
      <c r="A291" s="2"/>
      <c r="B291" s="156"/>
      <c r="C291" s="133"/>
      <c r="E291" s="32"/>
      <c r="F291" s="133"/>
      <c r="G291" s="32"/>
      <c r="H291" s="169"/>
      <c r="I291" s="154"/>
      <c r="J291" s="32"/>
      <c r="L291" s="139"/>
      <c r="M291" s="133"/>
    </row>
    <row r="292" spans="1:13" ht="16" thickBot="1" x14ac:dyDescent="0.4">
      <c r="A292" s="2"/>
      <c r="B292" s="156" t="s">
        <v>178</v>
      </c>
      <c r="C292" s="143">
        <f>+C290</f>
        <v>65805.91</v>
      </c>
      <c r="E292" s="32"/>
      <c r="F292" s="143">
        <f>+F290</f>
        <v>65805.91</v>
      </c>
      <c r="G292" s="32"/>
      <c r="H292" s="32"/>
      <c r="I292" s="154"/>
      <c r="J292" s="32"/>
      <c r="L292" s="139"/>
      <c r="M292" s="143">
        <f>+M290</f>
        <v>65805.91</v>
      </c>
    </row>
    <row r="293" spans="1:13" ht="16" thickTop="1" x14ac:dyDescent="0.35">
      <c r="A293" s="2"/>
      <c r="B293" s="156"/>
      <c r="C293" s="133"/>
      <c r="E293" s="32"/>
      <c r="F293" s="133"/>
      <c r="G293" s="32"/>
      <c r="H293" s="32"/>
      <c r="I293" s="154"/>
      <c r="J293" s="32"/>
      <c r="L293" s="139"/>
      <c r="M293" s="133"/>
    </row>
    <row r="294" spans="1:13" ht="15.5" x14ac:dyDescent="0.35">
      <c r="A294" s="2"/>
      <c r="B294" s="130" t="s">
        <v>179</v>
      </c>
      <c r="C294" s="133"/>
      <c r="E294" s="32"/>
      <c r="F294" s="133"/>
      <c r="G294" s="32"/>
      <c r="H294" s="32"/>
      <c r="I294" s="154"/>
      <c r="J294" s="32"/>
      <c r="L294" s="139"/>
      <c r="M294" s="133"/>
    </row>
    <row r="295" spans="1:13" ht="15.5" x14ac:dyDescent="0.35">
      <c r="A295" s="2"/>
      <c r="B295" s="156" t="s">
        <v>180</v>
      </c>
      <c r="C295" s="133"/>
      <c r="E295" s="32"/>
      <c r="F295" s="133"/>
      <c r="G295" s="32"/>
      <c r="H295" s="32"/>
      <c r="I295" s="154"/>
      <c r="J295" s="32"/>
      <c r="L295" s="139"/>
      <c r="M295" s="133"/>
    </row>
    <row r="296" spans="1:13" ht="15.5" x14ac:dyDescent="0.35">
      <c r="A296" s="2"/>
      <c r="B296" s="156"/>
      <c r="C296" s="133"/>
      <c r="E296" s="32"/>
      <c r="F296" s="133"/>
      <c r="G296" s="32"/>
      <c r="H296" s="32"/>
      <c r="I296" s="154"/>
      <c r="J296" s="32"/>
      <c r="L296" s="139"/>
      <c r="M296" s="133"/>
    </row>
    <row r="297" spans="1:13" ht="15.5" x14ac:dyDescent="0.35">
      <c r="A297" s="2"/>
      <c r="B297" s="156" t="s">
        <v>142</v>
      </c>
      <c r="C297" s="140">
        <v>7412412.46</v>
      </c>
      <c r="E297" s="150" t="s">
        <v>119</v>
      </c>
      <c r="F297" s="140">
        <v>7412412.46</v>
      </c>
      <c r="G297" s="135">
        <v>3.3</v>
      </c>
      <c r="H297" s="170">
        <v>100</v>
      </c>
      <c r="I297" s="164" t="s">
        <v>142</v>
      </c>
      <c r="J297" s="134" t="s">
        <v>148</v>
      </c>
      <c r="L297" s="139">
        <v>100</v>
      </c>
      <c r="M297" s="140">
        <f>SUM(L297*F297)/100</f>
        <v>7412412.46</v>
      </c>
    </row>
    <row r="298" spans="1:13" ht="15.5" x14ac:dyDescent="0.35">
      <c r="A298" s="2"/>
      <c r="B298" s="156"/>
      <c r="C298" s="133"/>
      <c r="E298" s="150"/>
      <c r="F298" s="133"/>
      <c r="G298" s="168"/>
      <c r="H298" s="169"/>
      <c r="I298" s="164"/>
      <c r="J298" s="134"/>
      <c r="L298" s="139"/>
      <c r="M298" s="133"/>
    </row>
    <row r="299" spans="1:13" ht="16" thickBot="1" x14ac:dyDescent="0.4">
      <c r="A299" s="2"/>
      <c r="B299" s="156" t="s">
        <v>181</v>
      </c>
      <c r="C299" s="143">
        <f>SUM(C297:C298)</f>
        <v>7412412.46</v>
      </c>
      <c r="E299" s="32"/>
      <c r="F299" s="143">
        <f>SUM(F297:F298)</f>
        <v>7412412.46</v>
      </c>
      <c r="G299" s="32"/>
      <c r="H299" s="32"/>
      <c r="I299" s="154"/>
      <c r="J299" s="32"/>
      <c r="L299" s="139"/>
      <c r="M299" s="143">
        <f>SUM(M297:M298)</f>
        <v>7412412.46</v>
      </c>
    </row>
    <row r="300" spans="1:13" ht="16" thickTop="1" x14ac:dyDescent="0.35">
      <c r="A300" s="2"/>
      <c r="B300" s="156"/>
      <c r="C300" s="133"/>
      <c r="E300" s="32"/>
      <c r="F300" s="133"/>
      <c r="G300" s="32"/>
      <c r="H300" s="32"/>
      <c r="I300" s="154"/>
      <c r="J300" s="32"/>
      <c r="L300" s="139"/>
      <c r="M300" s="133"/>
    </row>
    <row r="301" spans="1:13" ht="15.5" x14ac:dyDescent="0.35">
      <c r="A301" s="2"/>
      <c r="B301" s="130" t="s">
        <v>182</v>
      </c>
      <c r="C301" s="133"/>
      <c r="E301" s="32"/>
      <c r="F301" s="133"/>
      <c r="G301" s="32"/>
      <c r="H301" s="32"/>
      <c r="I301" s="154"/>
      <c r="J301" s="32"/>
      <c r="L301" s="139"/>
      <c r="M301" s="133"/>
    </row>
    <row r="302" spans="1:13" ht="15.5" x14ac:dyDescent="0.35">
      <c r="A302" s="2"/>
      <c r="B302" s="156" t="s">
        <v>183</v>
      </c>
      <c r="C302" s="133"/>
      <c r="E302" s="32"/>
      <c r="F302" s="133"/>
      <c r="G302" s="32"/>
      <c r="H302" s="32"/>
      <c r="I302" s="154"/>
      <c r="J302" s="32"/>
      <c r="L302" s="139"/>
      <c r="M302" s="133"/>
    </row>
    <row r="303" spans="1:13" ht="15.5" x14ac:dyDescent="0.35">
      <c r="A303" s="2"/>
      <c r="B303" s="156"/>
      <c r="C303" s="133"/>
      <c r="E303" s="32"/>
      <c r="F303" s="133"/>
      <c r="G303" s="32"/>
      <c r="H303" s="32"/>
      <c r="I303" s="154"/>
      <c r="J303" s="32"/>
      <c r="L303" s="139"/>
      <c r="M303" s="133"/>
    </row>
    <row r="304" spans="1:13" ht="15.5" x14ac:dyDescent="0.35">
      <c r="A304" s="2"/>
      <c r="B304" s="156" t="s">
        <v>142</v>
      </c>
      <c r="C304" s="140">
        <v>2569512.79</v>
      </c>
      <c r="E304" s="150" t="s">
        <v>119</v>
      </c>
      <c r="F304" s="140">
        <v>2569512.79</v>
      </c>
      <c r="G304" s="135">
        <v>3.54</v>
      </c>
      <c r="H304" s="170">
        <v>100</v>
      </c>
      <c r="I304" s="164" t="s">
        <v>142</v>
      </c>
      <c r="J304" s="134" t="s">
        <v>148</v>
      </c>
      <c r="L304" s="139">
        <v>100</v>
      </c>
      <c r="M304" s="140">
        <f>SUM(L304*F304)/100</f>
        <v>2569512.79</v>
      </c>
    </row>
    <row r="305" spans="1:13" ht="15.5" x14ac:dyDescent="0.35">
      <c r="A305" s="2"/>
      <c r="B305" s="156"/>
      <c r="C305" s="133"/>
      <c r="E305" s="150"/>
      <c r="F305" s="133"/>
      <c r="G305" s="168"/>
      <c r="H305" s="169"/>
      <c r="I305" s="164"/>
      <c r="J305" s="134"/>
      <c r="L305" s="139"/>
      <c r="M305" s="133"/>
    </row>
    <row r="306" spans="1:13" ht="16" thickBot="1" x14ac:dyDescent="0.4">
      <c r="A306" s="2"/>
      <c r="B306" s="156" t="s">
        <v>184</v>
      </c>
      <c r="C306" s="143">
        <f>SUM(C304:C305)</f>
        <v>2569512.79</v>
      </c>
      <c r="E306" s="32"/>
      <c r="F306" s="143">
        <f>SUM(F304:F305)</f>
        <v>2569512.79</v>
      </c>
      <c r="G306" s="32"/>
      <c r="H306" s="32"/>
      <c r="I306" s="154"/>
      <c r="J306" s="32"/>
      <c r="L306" s="139"/>
      <c r="M306" s="143">
        <f>SUM(M304:M305)</f>
        <v>2569512.79</v>
      </c>
    </row>
    <row r="307" spans="1:13" ht="16" thickTop="1" x14ac:dyDescent="0.35">
      <c r="A307" s="2"/>
      <c r="B307" s="156"/>
      <c r="C307" s="133"/>
      <c r="E307" s="32"/>
      <c r="F307" s="133"/>
      <c r="G307" s="32"/>
      <c r="H307" s="32"/>
      <c r="I307" s="154"/>
      <c r="J307" s="32"/>
      <c r="L307" s="139"/>
      <c r="M307" s="133"/>
    </row>
    <row r="308" spans="1:13" ht="15.5" x14ac:dyDescent="0.35">
      <c r="A308" s="2"/>
      <c r="B308" s="156"/>
      <c r="C308" s="133"/>
      <c r="E308" s="32"/>
      <c r="F308" s="133"/>
      <c r="G308" s="32"/>
      <c r="H308" s="32"/>
      <c r="I308" s="154"/>
      <c r="J308" s="32"/>
      <c r="L308" s="139"/>
      <c r="M308" s="133"/>
    </row>
    <row r="309" spans="1:13" ht="15.5" x14ac:dyDescent="0.35">
      <c r="A309" s="2"/>
      <c r="B309" s="130" t="s">
        <v>185</v>
      </c>
      <c r="C309" s="133"/>
      <c r="E309" s="32"/>
      <c r="F309" s="133"/>
      <c r="G309" s="32"/>
      <c r="H309" s="32"/>
      <c r="I309" s="154"/>
      <c r="J309" s="32"/>
      <c r="L309" s="139"/>
      <c r="M309" s="133"/>
    </row>
    <row r="310" spans="1:13" ht="15.5" x14ac:dyDescent="0.35">
      <c r="A310" s="2"/>
      <c r="B310" s="156" t="s">
        <v>186</v>
      </c>
      <c r="C310" s="133"/>
      <c r="E310" s="32"/>
      <c r="F310" s="133"/>
      <c r="G310" s="32"/>
      <c r="H310" s="32"/>
      <c r="I310" s="154"/>
      <c r="J310" s="32"/>
      <c r="L310" s="139"/>
      <c r="M310" s="133"/>
    </row>
    <row r="311" spans="1:13" ht="15.5" x14ac:dyDescent="0.35">
      <c r="A311" s="2"/>
      <c r="B311" s="156"/>
      <c r="C311" s="133"/>
      <c r="E311" s="32"/>
      <c r="F311" s="133"/>
      <c r="G311" s="32"/>
      <c r="H311" s="32"/>
      <c r="I311" s="154"/>
      <c r="J311" s="32"/>
      <c r="L311" s="139"/>
      <c r="M311" s="133"/>
    </row>
    <row r="312" spans="1:13" ht="15.5" x14ac:dyDescent="0.35">
      <c r="A312" s="2"/>
      <c r="B312" s="156" t="s">
        <v>142</v>
      </c>
      <c r="C312" s="140">
        <v>1004777.68</v>
      </c>
      <c r="E312" s="150" t="s">
        <v>119</v>
      </c>
      <c r="F312" s="140">
        <v>1004777.68</v>
      </c>
      <c r="G312" s="135">
        <v>3.54</v>
      </c>
      <c r="H312" s="170">
        <v>100</v>
      </c>
      <c r="I312" s="164" t="s">
        <v>142</v>
      </c>
      <c r="J312" s="134" t="s">
        <v>148</v>
      </c>
      <c r="L312" s="139">
        <v>100</v>
      </c>
      <c r="M312" s="140">
        <f>SUM(L312*F312)/100</f>
        <v>1004777.68</v>
      </c>
    </row>
    <row r="313" spans="1:13" ht="15.5" x14ac:dyDescent="0.35">
      <c r="A313" s="2"/>
      <c r="B313" s="156"/>
      <c r="C313" s="133"/>
      <c r="E313" s="150"/>
      <c r="F313" s="133" t="s">
        <v>187</v>
      </c>
      <c r="G313" s="168" t="s">
        <v>21</v>
      </c>
      <c r="H313" s="169"/>
      <c r="I313" s="164"/>
      <c r="J313" s="134"/>
      <c r="L313" s="139"/>
      <c r="M313" s="133"/>
    </row>
    <row r="314" spans="1:13" ht="16" thickBot="1" x14ac:dyDescent="0.4">
      <c r="A314" s="2"/>
      <c r="B314" s="156" t="s">
        <v>188</v>
      </c>
      <c r="C314" s="143">
        <f>SUM(C312:C313)</f>
        <v>1004777.68</v>
      </c>
      <c r="E314" s="32"/>
      <c r="F314" s="143">
        <f>SUM(F312:F313)</f>
        <v>1004777.68</v>
      </c>
      <c r="G314" s="32"/>
      <c r="H314" s="32"/>
      <c r="I314" s="154"/>
      <c r="J314" s="32"/>
      <c r="L314" s="139"/>
      <c r="M314" s="143">
        <f>SUM(M312:M313)</f>
        <v>1004777.68</v>
      </c>
    </row>
    <row r="315" spans="1:13" ht="16" thickTop="1" x14ac:dyDescent="0.35">
      <c r="A315" s="2"/>
      <c r="B315" s="156"/>
      <c r="C315" s="133"/>
      <c r="E315" s="32"/>
      <c r="F315" s="133"/>
      <c r="G315" s="32"/>
      <c r="H315" s="32"/>
      <c r="I315" s="154"/>
      <c r="J315" s="32"/>
      <c r="L315" s="139"/>
      <c r="M315" s="133"/>
    </row>
    <row r="316" spans="1:13" ht="15.5" x14ac:dyDescent="0.35">
      <c r="A316" s="2"/>
      <c r="B316" s="156"/>
      <c r="C316" s="133"/>
      <c r="E316" s="32"/>
      <c r="F316" s="133"/>
      <c r="G316" s="32"/>
      <c r="H316" s="32"/>
      <c r="I316" s="154"/>
      <c r="J316" s="32"/>
      <c r="L316" s="139"/>
      <c r="M316" s="133"/>
    </row>
    <row r="317" spans="1:13" ht="15.5" x14ac:dyDescent="0.35">
      <c r="A317" s="2"/>
      <c r="B317" s="130" t="s">
        <v>189</v>
      </c>
      <c r="C317" s="133"/>
      <c r="E317" s="32"/>
      <c r="F317" s="133"/>
      <c r="G317" s="32"/>
      <c r="H317" s="32"/>
      <c r="I317" s="154"/>
      <c r="J317" s="32"/>
      <c r="L317" s="139"/>
      <c r="M317" s="133"/>
    </row>
    <row r="318" spans="1:13" ht="15.5" x14ac:dyDescent="0.35">
      <c r="A318" s="2"/>
      <c r="B318" s="156" t="s">
        <v>190</v>
      </c>
      <c r="C318" s="133"/>
      <c r="E318" s="32"/>
      <c r="F318" s="133"/>
      <c r="G318" s="32"/>
      <c r="H318" s="32"/>
      <c r="I318" s="154"/>
      <c r="J318" s="32"/>
      <c r="L318" s="139"/>
      <c r="M318" s="133"/>
    </row>
    <row r="319" spans="1:13" ht="15.5" x14ac:dyDescent="0.35">
      <c r="A319" s="2"/>
      <c r="B319" s="156"/>
      <c r="C319" s="133"/>
      <c r="E319" s="32"/>
      <c r="F319" s="133"/>
      <c r="G319" s="32"/>
      <c r="H319" s="32"/>
      <c r="I319" s="154"/>
      <c r="J319" s="32"/>
      <c r="L319" s="139"/>
      <c r="M319" s="133"/>
    </row>
    <row r="320" spans="1:13" ht="15.5" x14ac:dyDescent="0.35">
      <c r="A320" s="2"/>
      <c r="B320" s="156" t="s">
        <v>142</v>
      </c>
      <c r="C320" s="140">
        <v>331009.8</v>
      </c>
      <c r="E320" s="150" t="s">
        <v>119</v>
      </c>
      <c r="F320" s="140">
        <v>331009.8</v>
      </c>
      <c r="G320" s="135">
        <v>3.54</v>
      </c>
      <c r="H320" s="170">
        <v>100</v>
      </c>
      <c r="I320" s="164" t="s">
        <v>142</v>
      </c>
      <c r="J320" s="134" t="s">
        <v>148</v>
      </c>
      <c r="L320" s="139">
        <v>100</v>
      </c>
      <c r="M320" s="140">
        <f>SUM(L320*F320)/100</f>
        <v>331009.8</v>
      </c>
    </row>
    <row r="321" spans="1:13" ht="15.5" x14ac:dyDescent="0.35">
      <c r="A321" s="2"/>
      <c r="B321" s="156"/>
      <c r="C321" s="133"/>
      <c r="E321" s="150"/>
      <c r="F321" s="133" t="s">
        <v>187</v>
      </c>
      <c r="G321" s="168"/>
      <c r="H321" s="169"/>
      <c r="I321" s="164"/>
      <c r="J321" s="134"/>
      <c r="L321" s="139"/>
      <c r="M321" s="133"/>
    </row>
    <row r="322" spans="1:13" ht="16" thickBot="1" x14ac:dyDescent="0.4">
      <c r="A322" s="2"/>
      <c r="B322" s="156" t="s">
        <v>191</v>
      </c>
      <c r="C322" s="143">
        <f>SUM(C320:C321)</f>
        <v>331009.8</v>
      </c>
      <c r="E322" s="32"/>
      <c r="F322" s="143">
        <f>SUM(F320:F321)</f>
        <v>331009.8</v>
      </c>
      <c r="G322" s="32"/>
      <c r="H322" s="32"/>
      <c r="I322" s="154"/>
      <c r="J322" s="32"/>
      <c r="L322" s="139"/>
      <c r="M322" s="143">
        <f>SUM(M320:M321)</f>
        <v>331009.8</v>
      </c>
    </row>
    <row r="323" spans="1:13" ht="16" thickTop="1" x14ac:dyDescent="0.35">
      <c r="A323" s="2"/>
      <c r="B323" s="156"/>
      <c r="C323" s="133"/>
      <c r="E323" s="32"/>
      <c r="F323" s="133"/>
      <c r="G323" s="32"/>
      <c r="H323" s="32"/>
      <c r="I323" s="154"/>
      <c r="J323" s="32"/>
      <c r="L323" s="139"/>
      <c r="M323" s="133"/>
    </row>
    <row r="324" spans="1:13" ht="15.5" x14ac:dyDescent="0.35">
      <c r="A324" s="2"/>
      <c r="B324" s="156"/>
      <c r="C324" s="133"/>
      <c r="E324" s="32"/>
      <c r="F324" s="133"/>
      <c r="G324" s="32"/>
      <c r="H324" s="32"/>
      <c r="I324" s="154"/>
      <c r="J324" s="32"/>
      <c r="L324" s="139"/>
      <c r="M324" s="133"/>
    </row>
    <row r="325" spans="1:13" ht="15.5" x14ac:dyDescent="0.35">
      <c r="A325" s="2"/>
      <c r="B325" s="156"/>
      <c r="C325" s="133"/>
      <c r="E325" s="32"/>
      <c r="F325" s="133"/>
      <c r="G325" s="32"/>
      <c r="H325" s="32"/>
      <c r="I325" s="154"/>
      <c r="J325" s="32"/>
      <c r="L325" s="139"/>
      <c r="M325" s="133"/>
    </row>
    <row r="326" spans="1:13" ht="15.5" x14ac:dyDescent="0.35">
      <c r="A326" s="2"/>
      <c r="B326" s="130" t="s">
        <v>192</v>
      </c>
      <c r="C326" s="133"/>
      <c r="E326" s="32"/>
      <c r="F326" s="133"/>
      <c r="G326" s="32"/>
      <c r="H326" s="32"/>
      <c r="I326" s="154"/>
      <c r="J326" s="32"/>
      <c r="L326" s="139"/>
      <c r="M326" s="133"/>
    </row>
    <row r="327" spans="1:13" ht="15.5" x14ac:dyDescent="0.35">
      <c r="A327" s="2"/>
      <c r="B327" s="156" t="s">
        <v>193</v>
      </c>
      <c r="C327" s="133"/>
      <c r="E327" s="32"/>
      <c r="F327" s="133"/>
      <c r="G327" s="32"/>
      <c r="H327" s="32"/>
      <c r="I327" s="154"/>
      <c r="J327" s="32"/>
      <c r="L327" s="139"/>
      <c r="M327" s="133"/>
    </row>
    <row r="328" spans="1:13" ht="15.5" x14ac:dyDescent="0.35">
      <c r="A328" s="2"/>
      <c r="B328" s="156"/>
      <c r="C328" s="133"/>
      <c r="E328" s="32"/>
      <c r="F328" s="133"/>
      <c r="G328" s="32"/>
      <c r="H328" s="32"/>
      <c r="I328" s="154"/>
      <c r="J328" s="32"/>
      <c r="L328" s="139"/>
      <c r="M328" s="133"/>
    </row>
    <row r="329" spans="1:13" ht="15.5" x14ac:dyDescent="0.35">
      <c r="A329" s="2"/>
      <c r="B329" s="156" t="s">
        <v>142</v>
      </c>
      <c r="C329" s="140">
        <v>33034005.140000001</v>
      </c>
      <c r="E329" s="150" t="s">
        <v>119</v>
      </c>
      <c r="F329" s="140">
        <f>30902243.04+213762.08</f>
        <v>31116005.119999997</v>
      </c>
      <c r="G329" s="135">
        <v>3.54</v>
      </c>
      <c r="H329" s="170">
        <v>100</v>
      </c>
      <c r="I329" s="164" t="s">
        <v>142</v>
      </c>
      <c r="J329" s="134" t="s">
        <v>148</v>
      </c>
      <c r="L329" s="139">
        <v>100</v>
      </c>
      <c r="M329" s="140">
        <f>SUM(L329*F329)/100</f>
        <v>31116005.119999994</v>
      </c>
    </row>
    <row r="330" spans="1:13" ht="15.5" x14ac:dyDescent="0.35">
      <c r="A330" s="2"/>
      <c r="B330" s="156"/>
      <c r="C330" s="133"/>
      <c r="E330" s="150"/>
      <c r="G330" s="168" t="s">
        <v>187</v>
      </c>
      <c r="H330" s="169"/>
      <c r="I330" s="164"/>
      <c r="J330" s="134"/>
      <c r="L330" s="139"/>
      <c r="M330" s="133"/>
    </row>
    <row r="331" spans="1:13" ht="16" thickBot="1" x14ac:dyDescent="0.4">
      <c r="A331" s="2"/>
      <c r="B331" s="156" t="s">
        <v>194</v>
      </c>
      <c r="C331" s="143">
        <f>SUM(C329:C330)</f>
        <v>33034005.140000001</v>
      </c>
      <c r="E331" s="32"/>
      <c r="F331" s="143">
        <f>SUM(F329:F329)</f>
        <v>31116005.119999997</v>
      </c>
      <c r="G331" s="32"/>
      <c r="H331" s="32"/>
      <c r="I331" s="154"/>
      <c r="J331" s="32"/>
      <c r="L331" s="139"/>
      <c r="M331" s="143">
        <f>SUM(M329:M330)</f>
        <v>31116005.119999994</v>
      </c>
    </row>
    <row r="332" spans="1:13" ht="16" thickTop="1" x14ac:dyDescent="0.35">
      <c r="A332" s="2"/>
      <c r="B332" s="156"/>
      <c r="C332" s="133"/>
      <c r="E332" s="32"/>
      <c r="F332" s="133"/>
      <c r="G332" s="32"/>
      <c r="H332" s="32"/>
      <c r="I332" s="154"/>
      <c r="J332" s="32"/>
      <c r="L332" s="139"/>
      <c r="M332" s="133"/>
    </row>
    <row r="333" spans="1:13" ht="15.5" x14ac:dyDescent="0.35">
      <c r="A333" s="2"/>
      <c r="B333" s="156"/>
      <c r="C333" s="133"/>
      <c r="E333" s="32"/>
      <c r="F333" s="133"/>
      <c r="G333" s="32"/>
      <c r="H333" s="32"/>
      <c r="I333" s="154"/>
      <c r="J333" s="32"/>
      <c r="L333" s="139"/>
      <c r="M333" s="133"/>
    </row>
    <row r="334" spans="1:13" ht="15.5" x14ac:dyDescent="0.35">
      <c r="A334" s="2"/>
      <c r="B334" s="156"/>
      <c r="C334" s="133"/>
      <c r="E334" s="32"/>
      <c r="F334" s="133"/>
      <c r="G334" s="32"/>
      <c r="H334" s="32"/>
      <c r="I334" s="154"/>
      <c r="J334" s="32"/>
      <c r="L334" s="139"/>
      <c r="M334" s="133"/>
    </row>
    <row r="335" spans="1:13" ht="15.5" x14ac:dyDescent="0.35">
      <c r="A335" s="2"/>
      <c r="B335" s="156" t="s">
        <v>195</v>
      </c>
      <c r="C335" s="133"/>
      <c r="E335" s="32"/>
      <c r="F335" s="133"/>
      <c r="G335" s="32"/>
      <c r="H335" s="32"/>
      <c r="I335" s="154"/>
      <c r="J335" s="32"/>
      <c r="L335" s="139"/>
      <c r="M335" s="133"/>
    </row>
    <row r="336" spans="1:13" ht="15.5" x14ac:dyDescent="0.35">
      <c r="A336" s="2"/>
      <c r="B336" s="156" t="s">
        <v>196</v>
      </c>
      <c r="C336" s="133"/>
      <c r="E336" s="32"/>
      <c r="F336" s="133"/>
      <c r="G336" s="32"/>
      <c r="H336" s="32"/>
      <c r="I336" s="154"/>
      <c r="J336" s="32"/>
      <c r="L336" s="139"/>
      <c r="M336" s="133"/>
    </row>
    <row r="337" spans="1:13" ht="15.5" x14ac:dyDescent="0.35">
      <c r="A337" s="2"/>
      <c r="B337" s="156"/>
      <c r="C337" s="133"/>
      <c r="E337" s="32"/>
      <c r="F337" s="133"/>
      <c r="G337" s="32"/>
      <c r="H337" s="32"/>
      <c r="I337" s="154"/>
      <c r="J337" s="32"/>
      <c r="L337" s="139"/>
      <c r="M337" s="133"/>
    </row>
    <row r="338" spans="1:13" ht="15.5" x14ac:dyDescent="0.35">
      <c r="A338" s="2"/>
      <c r="B338" s="156" t="s">
        <v>142</v>
      </c>
      <c r="C338" s="140">
        <v>5894718.0499999998</v>
      </c>
      <c r="E338" s="150" t="s">
        <v>119</v>
      </c>
      <c r="F338" s="140">
        <f>1996811.01+3897907.03</f>
        <v>5894718.04</v>
      </c>
      <c r="G338" s="171">
        <v>3.54</v>
      </c>
      <c r="H338" s="170">
        <v>100</v>
      </c>
      <c r="I338" s="154" t="s">
        <v>142</v>
      </c>
      <c r="J338" s="150" t="s">
        <v>148</v>
      </c>
      <c r="L338" s="139">
        <v>100</v>
      </c>
      <c r="M338" s="140">
        <f>SUM(L338*F338)/100</f>
        <v>5894718.04</v>
      </c>
    </row>
    <row r="339" spans="1:13" ht="15.5" x14ac:dyDescent="0.35">
      <c r="A339" s="2"/>
      <c r="B339" s="156"/>
      <c r="C339" s="133"/>
      <c r="E339" s="32"/>
      <c r="F339" s="133" t="s">
        <v>187</v>
      </c>
      <c r="G339" s="32"/>
      <c r="H339" s="32"/>
      <c r="I339" s="154"/>
      <c r="J339" s="32"/>
      <c r="L339" s="139"/>
      <c r="M339" s="133"/>
    </row>
    <row r="340" spans="1:13" ht="16" thickBot="1" x14ac:dyDescent="0.4">
      <c r="A340" s="2"/>
      <c r="B340" s="156" t="s">
        <v>197</v>
      </c>
      <c r="C340" s="143">
        <f>SUM(C338:C339)</f>
        <v>5894718.0499999998</v>
      </c>
      <c r="E340" s="32"/>
      <c r="F340" s="143">
        <f>SUM(F338:F339)</f>
        <v>5894718.04</v>
      </c>
      <c r="G340" s="32"/>
      <c r="H340" s="32"/>
      <c r="I340" s="154"/>
      <c r="J340" s="32"/>
      <c r="L340" s="139"/>
      <c r="M340" s="143">
        <f>SUM(M338:M339)</f>
        <v>5894718.04</v>
      </c>
    </row>
    <row r="341" spans="1:13" ht="16" thickTop="1" x14ac:dyDescent="0.35">
      <c r="A341" s="2"/>
      <c r="B341" s="156"/>
      <c r="C341" s="133"/>
      <c r="E341" s="32"/>
      <c r="F341" s="133"/>
      <c r="G341" s="32"/>
      <c r="H341" s="32"/>
      <c r="I341" s="154"/>
      <c r="J341" s="32"/>
      <c r="L341" s="139"/>
      <c r="M341" s="133"/>
    </row>
    <row r="342" spans="1:13" ht="15.5" x14ac:dyDescent="0.35">
      <c r="A342" s="2"/>
      <c r="B342" s="156"/>
      <c r="C342" s="133"/>
      <c r="E342" s="32"/>
      <c r="F342" s="133"/>
      <c r="G342" s="32"/>
      <c r="H342" s="32"/>
      <c r="I342" s="154"/>
      <c r="J342" s="32"/>
      <c r="L342" s="139"/>
      <c r="M342" s="133"/>
    </row>
    <row r="343" spans="1:13" ht="15.5" x14ac:dyDescent="0.35">
      <c r="A343" s="2"/>
      <c r="B343" s="156" t="s">
        <v>198</v>
      </c>
      <c r="C343" s="133"/>
      <c r="E343" s="32"/>
      <c r="F343" s="133"/>
      <c r="G343" s="32"/>
      <c r="H343" s="32"/>
      <c r="I343" s="154"/>
      <c r="J343" s="32"/>
      <c r="L343" s="139"/>
      <c r="M343" s="133"/>
    </row>
    <row r="344" spans="1:13" ht="15.5" x14ac:dyDescent="0.35">
      <c r="A344" s="2"/>
      <c r="B344" s="156" t="s">
        <v>199</v>
      </c>
      <c r="C344" s="133"/>
      <c r="E344" s="32"/>
      <c r="F344" s="133"/>
      <c r="G344" s="32"/>
      <c r="H344" s="32"/>
      <c r="I344" s="154"/>
      <c r="J344" s="32"/>
      <c r="L344" s="139"/>
      <c r="M344" s="133"/>
    </row>
    <row r="345" spans="1:13" ht="15.5" x14ac:dyDescent="0.35">
      <c r="A345" s="2"/>
      <c r="B345" s="156"/>
      <c r="C345" s="133"/>
      <c r="E345" s="32"/>
      <c r="F345" s="133"/>
      <c r="G345" s="32"/>
      <c r="H345" s="32"/>
      <c r="I345" s="154"/>
      <c r="J345" s="32"/>
      <c r="L345" s="139"/>
      <c r="M345" s="133"/>
    </row>
    <row r="346" spans="1:13" ht="15.5" x14ac:dyDescent="0.35">
      <c r="A346" s="2"/>
      <c r="B346" s="156" t="s">
        <v>142</v>
      </c>
      <c r="C346" s="140">
        <v>9439540.0600000005</v>
      </c>
      <c r="E346" s="150" t="s">
        <v>119</v>
      </c>
      <c r="F346" s="140">
        <v>9439540.0600000005</v>
      </c>
      <c r="G346" s="171">
        <v>3.54</v>
      </c>
      <c r="H346" s="170">
        <v>100</v>
      </c>
      <c r="I346" s="154" t="s">
        <v>142</v>
      </c>
      <c r="J346" s="150" t="s">
        <v>148</v>
      </c>
      <c r="L346" s="139">
        <v>100</v>
      </c>
      <c r="M346" s="140">
        <f>SUM(L346*F346)/100</f>
        <v>9439540.0600000005</v>
      </c>
    </row>
    <row r="347" spans="1:13" ht="15.5" x14ac:dyDescent="0.35">
      <c r="A347" s="2"/>
      <c r="B347" s="156"/>
      <c r="C347" s="133"/>
      <c r="E347" s="32"/>
      <c r="F347" s="133" t="s">
        <v>187</v>
      </c>
      <c r="G347" s="32"/>
      <c r="H347" s="32"/>
      <c r="I347" s="154"/>
      <c r="J347" s="32"/>
      <c r="L347" s="139"/>
      <c r="M347" s="133"/>
    </row>
    <row r="348" spans="1:13" ht="16" thickBot="1" x14ac:dyDescent="0.4">
      <c r="A348" s="2"/>
      <c r="B348" s="156" t="s">
        <v>200</v>
      </c>
      <c r="C348" s="143">
        <f>SUM(C346:C347)</f>
        <v>9439540.0600000005</v>
      </c>
      <c r="E348" s="32"/>
      <c r="F348" s="143">
        <f>SUM(F346:F347)</f>
        <v>9439540.0600000005</v>
      </c>
      <c r="G348" s="32"/>
      <c r="H348" s="32"/>
      <c r="I348" s="154"/>
      <c r="J348" s="32"/>
      <c r="L348" s="139"/>
      <c r="M348" s="143">
        <f>SUM(M346:M347)</f>
        <v>9439540.0600000005</v>
      </c>
    </row>
    <row r="349" spans="1:13" ht="16" thickTop="1" x14ac:dyDescent="0.35">
      <c r="A349" s="2"/>
      <c r="B349" s="156"/>
      <c r="C349" s="133"/>
      <c r="E349" s="32"/>
      <c r="F349" s="133"/>
      <c r="G349" s="32"/>
      <c r="H349" s="32"/>
      <c r="I349" s="154"/>
      <c r="J349" s="32"/>
      <c r="L349" s="139"/>
      <c r="M349" s="133"/>
    </row>
    <row r="350" spans="1:13" ht="15.5" x14ac:dyDescent="0.35">
      <c r="A350" s="2"/>
      <c r="B350" s="156"/>
      <c r="C350" s="133"/>
      <c r="E350" s="32"/>
      <c r="F350" s="133"/>
      <c r="G350" s="32"/>
      <c r="H350" s="32"/>
      <c r="I350" s="154"/>
      <c r="J350" s="32"/>
      <c r="L350" s="139"/>
      <c r="M350" s="133"/>
    </row>
    <row r="351" spans="1:13" ht="15.5" x14ac:dyDescent="0.35">
      <c r="A351" s="2"/>
      <c r="B351" s="156" t="s">
        <v>201</v>
      </c>
      <c r="C351" s="133"/>
      <c r="E351" s="32"/>
      <c r="F351" s="133"/>
      <c r="G351" s="32"/>
      <c r="H351" s="32"/>
      <c r="I351" s="154"/>
      <c r="J351" s="32"/>
      <c r="L351" s="139"/>
      <c r="M351" s="133"/>
    </row>
    <row r="352" spans="1:13" ht="15.5" x14ac:dyDescent="0.35">
      <c r="A352" s="2"/>
      <c r="B352" s="156" t="s">
        <v>202</v>
      </c>
      <c r="C352" s="133"/>
      <c r="E352" s="32"/>
      <c r="F352" s="133"/>
      <c r="G352" s="32"/>
      <c r="H352" s="32"/>
      <c r="I352" s="154"/>
      <c r="J352" s="32"/>
      <c r="L352" s="139"/>
      <c r="M352" s="133"/>
    </row>
    <row r="353" spans="1:13" ht="15.5" x14ac:dyDescent="0.35">
      <c r="A353" s="2"/>
      <c r="B353" s="156"/>
      <c r="C353" s="133"/>
      <c r="E353" s="32"/>
      <c r="F353" s="133"/>
      <c r="G353" s="32"/>
      <c r="H353" s="32"/>
      <c r="I353" s="154"/>
      <c r="J353" s="32"/>
      <c r="L353" s="139"/>
      <c r="M353" s="133"/>
    </row>
    <row r="354" spans="1:13" ht="15.5" x14ac:dyDescent="0.35">
      <c r="A354" s="2"/>
      <c r="B354" s="156" t="s">
        <v>142</v>
      </c>
      <c r="C354" s="140">
        <v>220677.31</v>
      </c>
      <c r="E354" s="150" t="s">
        <v>119</v>
      </c>
      <c r="F354" s="140">
        <f>183566.81+37110.5</f>
        <v>220677.31</v>
      </c>
      <c r="G354" s="171">
        <v>3.7</v>
      </c>
      <c r="H354" s="170">
        <v>100</v>
      </c>
      <c r="I354" s="154" t="s">
        <v>142</v>
      </c>
      <c r="J354" s="150" t="s">
        <v>163</v>
      </c>
      <c r="L354" s="139">
        <v>100</v>
      </c>
      <c r="M354" s="140">
        <f>SUM(L354*F354)/100</f>
        <v>220677.31</v>
      </c>
    </row>
    <row r="355" spans="1:13" ht="15.5" x14ac:dyDescent="0.35">
      <c r="A355" s="2"/>
      <c r="B355" s="156"/>
      <c r="C355" s="133"/>
      <c r="E355" s="133">
        <f>+C354-F354</f>
        <v>0</v>
      </c>
      <c r="F355" s="133" t="s">
        <v>187</v>
      </c>
      <c r="G355" s="32"/>
      <c r="H355" s="32"/>
      <c r="I355" s="154"/>
      <c r="J355" s="32"/>
      <c r="L355" s="139"/>
      <c r="M355" s="133"/>
    </row>
    <row r="356" spans="1:13" ht="16" thickBot="1" x14ac:dyDescent="0.4">
      <c r="A356" s="2"/>
      <c r="B356" s="156" t="s">
        <v>203</v>
      </c>
      <c r="C356" s="143">
        <f>SUM(C354:C355)</f>
        <v>220677.31</v>
      </c>
      <c r="E356" s="32"/>
      <c r="F356" s="143">
        <f>SUM(F354:F355)</f>
        <v>220677.31</v>
      </c>
      <c r="G356" s="32"/>
      <c r="H356" s="32"/>
      <c r="I356" s="154"/>
      <c r="J356" s="32"/>
      <c r="L356" s="139"/>
      <c r="M356" s="143">
        <f>SUM(M354:M355)</f>
        <v>220677.31</v>
      </c>
    </row>
    <row r="357" spans="1:13" ht="16" thickTop="1" x14ac:dyDescent="0.35">
      <c r="A357" s="2"/>
      <c r="B357" s="156"/>
      <c r="C357" s="133"/>
      <c r="E357" s="32"/>
      <c r="F357" s="133"/>
      <c r="G357" s="32"/>
      <c r="H357" s="32"/>
      <c r="I357" s="154"/>
      <c r="J357" s="32"/>
      <c r="L357" s="139"/>
      <c r="M357" s="133"/>
    </row>
    <row r="358" spans="1:13" ht="15.5" x14ac:dyDescent="0.35">
      <c r="A358" s="2"/>
      <c r="B358" s="156" t="s">
        <v>204</v>
      </c>
      <c r="C358" s="133"/>
      <c r="E358" s="32"/>
      <c r="F358" s="133"/>
      <c r="G358" s="32"/>
      <c r="H358" s="32"/>
      <c r="I358" s="154"/>
      <c r="J358" s="32"/>
      <c r="L358" s="139"/>
      <c r="M358" s="133"/>
    </row>
    <row r="359" spans="1:13" ht="15.5" x14ac:dyDescent="0.35">
      <c r="A359" s="2"/>
      <c r="B359" s="156" t="s">
        <v>205</v>
      </c>
      <c r="C359" s="133"/>
      <c r="E359" s="32"/>
      <c r="F359" s="133"/>
      <c r="G359" s="32"/>
      <c r="H359" s="32"/>
      <c r="I359" s="154"/>
      <c r="J359" s="32"/>
      <c r="L359" s="139"/>
      <c r="M359" s="133"/>
    </row>
    <row r="360" spans="1:13" ht="15.5" x14ac:dyDescent="0.35">
      <c r="A360" s="2"/>
      <c r="B360" s="156"/>
      <c r="C360" s="133"/>
      <c r="E360" s="32"/>
      <c r="F360" s="133"/>
      <c r="G360" s="32"/>
      <c r="H360" s="32"/>
      <c r="I360" s="154"/>
      <c r="J360" s="32"/>
      <c r="L360" s="139"/>
      <c r="M360" s="133"/>
    </row>
    <row r="361" spans="1:13" ht="15.5" x14ac:dyDescent="0.35">
      <c r="A361" s="2"/>
      <c r="B361" s="156" t="s">
        <v>142</v>
      </c>
      <c r="C361" s="140">
        <v>7476.16</v>
      </c>
      <c r="E361" s="150" t="s">
        <v>119</v>
      </c>
      <c r="F361" s="140">
        <v>7476.16</v>
      </c>
      <c r="G361" s="171">
        <v>3.71</v>
      </c>
      <c r="H361" s="170">
        <v>100</v>
      </c>
      <c r="I361" s="154" t="s">
        <v>142</v>
      </c>
      <c r="J361" s="150" t="s">
        <v>163</v>
      </c>
      <c r="L361" s="139">
        <v>100</v>
      </c>
      <c r="M361" s="140">
        <f>SUM(L361*F361)/100</f>
        <v>7476.16</v>
      </c>
    </row>
    <row r="362" spans="1:13" ht="15.5" x14ac:dyDescent="0.35">
      <c r="A362" s="2"/>
      <c r="B362" s="156"/>
      <c r="C362" s="133"/>
      <c r="E362" s="133"/>
      <c r="F362" s="133" t="s">
        <v>187</v>
      </c>
      <c r="G362" s="32"/>
      <c r="H362" s="32"/>
      <c r="I362" s="154"/>
      <c r="J362" s="32"/>
      <c r="L362" s="139"/>
      <c r="M362" s="133"/>
    </row>
    <row r="363" spans="1:13" ht="16" thickBot="1" x14ac:dyDescent="0.4">
      <c r="A363" s="2"/>
      <c r="B363" s="156" t="s">
        <v>206</v>
      </c>
      <c r="C363" s="143">
        <f>SUM(C361:C362)</f>
        <v>7476.16</v>
      </c>
      <c r="E363" s="32"/>
      <c r="F363" s="143">
        <f>SUM(F361:F362)</f>
        <v>7476.16</v>
      </c>
      <c r="G363" s="32"/>
      <c r="H363" s="32"/>
      <c r="I363" s="154"/>
      <c r="J363" s="32"/>
      <c r="L363" s="139"/>
      <c r="M363" s="143">
        <f>SUM(M361:M362)</f>
        <v>7476.16</v>
      </c>
    </row>
    <row r="364" spans="1:13" ht="16" thickTop="1" x14ac:dyDescent="0.35">
      <c r="A364" s="2"/>
      <c r="B364" s="156"/>
      <c r="C364" s="133"/>
      <c r="E364" s="32"/>
      <c r="F364" s="133"/>
      <c r="G364" s="32"/>
      <c r="H364" s="32"/>
      <c r="I364" s="154"/>
      <c r="J364" s="32"/>
      <c r="L364" s="139"/>
      <c r="M364" s="133"/>
    </row>
    <row r="365" spans="1:13" ht="15.5" x14ac:dyDescent="0.35">
      <c r="A365" s="2"/>
      <c r="B365" s="156" t="s">
        <v>204</v>
      </c>
      <c r="C365" s="133"/>
      <c r="E365" s="32"/>
      <c r="F365" s="133"/>
      <c r="G365" s="32"/>
      <c r="H365" s="32"/>
      <c r="I365" s="154"/>
      <c r="J365" s="32"/>
      <c r="L365" s="139"/>
      <c r="M365" s="133"/>
    </row>
    <row r="366" spans="1:13" ht="15.5" x14ac:dyDescent="0.35">
      <c r="A366" s="2"/>
      <c r="B366" s="156" t="s">
        <v>207</v>
      </c>
      <c r="C366" s="133"/>
      <c r="E366" s="32"/>
      <c r="F366" s="133"/>
      <c r="G366" s="32"/>
      <c r="H366" s="32"/>
      <c r="I366" s="154"/>
      <c r="J366" s="32"/>
      <c r="L366" s="139"/>
      <c r="M366" s="133"/>
    </row>
    <row r="367" spans="1:13" ht="15.5" x14ac:dyDescent="0.35">
      <c r="A367" s="2"/>
      <c r="B367" s="156"/>
      <c r="C367" s="133"/>
      <c r="E367" s="32"/>
      <c r="F367" s="133"/>
      <c r="G367" s="32"/>
      <c r="H367" s="32"/>
      <c r="I367" s="154"/>
      <c r="J367" s="32"/>
      <c r="L367" s="139"/>
      <c r="M367" s="133"/>
    </row>
    <row r="368" spans="1:13" ht="15.5" x14ac:dyDescent="0.35">
      <c r="A368" s="2"/>
      <c r="B368" s="156" t="s">
        <v>142</v>
      </c>
      <c r="C368" s="140">
        <v>13374.01</v>
      </c>
      <c r="E368" s="150" t="s">
        <v>119</v>
      </c>
      <c r="F368" s="140">
        <v>13374.01</v>
      </c>
      <c r="G368" s="171">
        <v>3.71</v>
      </c>
      <c r="H368" s="170">
        <v>100</v>
      </c>
      <c r="I368" s="154" t="s">
        <v>142</v>
      </c>
      <c r="J368" s="150" t="s">
        <v>163</v>
      </c>
      <c r="L368" s="139">
        <v>100</v>
      </c>
      <c r="M368" s="140">
        <f>SUM(L368*F368)/100</f>
        <v>13374.01</v>
      </c>
    </row>
    <row r="369" spans="1:14" ht="15.5" x14ac:dyDescent="0.35">
      <c r="A369" s="2"/>
      <c r="B369" s="156"/>
      <c r="C369" s="133"/>
      <c r="E369" s="32"/>
      <c r="F369" s="133" t="s">
        <v>187</v>
      </c>
      <c r="G369" s="32"/>
      <c r="H369" s="32"/>
      <c r="I369" s="154"/>
      <c r="J369" s="32"/>
      <c r="L369" s="139"/>
      <c r="M369" s="133"/>
    </row>
    <row r="370" spans="1:14" ht="16" thickBot="1" x14ac:dyDescent="0.4">
      <c r="A370" s="2"/>
      <c r="B370" s="156" t="s">
        <v>208</v>
      </c>
      <c r="C370" s="143">
        <f>SUM(C368:C369)</f>
        <v>13374.01</v>
      </c>
      <c r="E370" s="32"/>
      <c r="F370" s="143">
        <f>SUM(F368:F369)</f>
        <v>13374.01</v>
      </c>
      <c r="G370" s="32"/>
      <c r="H370" s="32"/>
      <c r="I370" s="154"/>
      <c r="J370" s="32"/>
      <c r="L370" s="139"/>
      <c r="M370" s="143">
        <f>SUM(M368:M369)</f>
        <v>13374.01</v>
      </c>
    </row>
    <row r="371" spans="1:14" ht="16" thickTop="1" x14ac:dyDescent="0.35">
      <c r="A371" s="2"/>
      <c r="B371" s="156"/>
      <c r="C371" s="133"/>
      <c r="E371" s="32"/>
      <c r="F371" s="133"/>
      <c r="G371" s="32"/>
      <c r="H371" s="32"/>
      <c r="I371" s="154"/>
      <c r="J371" s="32"/>
      <c r="L371" s="139"/>
      <c r="M371" s="133"/>
    </row>
    <row r="372" spans="1:14" ht="15.5" x14ac:dyDescent="0.35">
      <c r="A372" s="2"/>
      <c r="B372" s="130" t="s">
        <v>209</v>
      </c>
      <c r="C372" s="133"/>
      <c r="E372" s="32"/>
      <c r="F372" s="133"/>
      <c r="G372" s="32"/>
      <c r="H372" s="169"/>
      <c r="I372" s="154"/>
      <c r="J372" s="32"/>
      <c r="L372" s="139"/>
      <c r="M372" s="133"/>
    </row>
    <row r="373" spans="1:14" ht="15.5" x14ac:dyDescent="0.35">
      <c r="A373" s="2"/>
      <c r="B373" s="156"/>
      <c r="C373" s="133"/>
      <c r="E373" s="32"/>
      <c r="F373" s="133"/>
      <c r="G373" s="32"/>
      <c r="H373" s="169"/>
      <c r="I373" s="154"/>
      <c r="J373" s="32"/>
      <c r="L373" s="139"/>
      <c r="M373" s="133"/>
    </row>
    <row r="374" spans="1:14" ht="15.5" x14ac:dyDescent="0.35">
      <c r="A374" s="2"/>
      <c r="B374" s="156" t="s">
        <v>210</v>
      </c>
      <c r="C374" s="133"/>
      <c r="E374" s="32"/>
      <c r="F374" s="133"/>
      <c r="G374" s="32"/>
      <c r="H374" s="169"/>
      <c r="I374" s="154"/>
      <c r="J374" s="32"/>
      <c r="L374" s="139"/>
      <c r="M374" s="133"/>
    </row>
    <row r="375" spans="1:14" ht="15.5" x14ac:dyDescent="0.35">
      <c r="A375" s="2"/>
      <c r="B375" s="156"/>
      <c r="C375" s="133"/>
      <c r="E375" s="32"/>
      <c r="F375" s="133" t="s">
        <v>21</v>
      </c>
      <c r="G375" s="32"/>
      <c r="H375" s="169"/>
      <c r="I375" s="154"/>
      <c r="J375" s="32"/>
      <c r="L375" s="139"/>
      <c r="M375" s="133"/>
    </row>
    <row r="376" spans="1:14" ht="15.5" x14ac:dyDescent="0.35">
      <c r="A376" s="2"/>
      <c r="B376" s="156" t="s">
        <v>142</v>
      </c>
      <c r="C376" s="140">
        <v>1214.29</v>
      </c>
      <c r="E376" s="150" t="s">
        <v>119</v>
      </c>
      <c r="F376" s="140">
        <v>1214.29</v>
      </c>
      <c r="G376" s="168">
        <v>3.71</v>
      </c>
      <c r="H376" s="169">
        <v>100</v>
      </c>
      <c r="I376" s="164" t="s">
        <v>142</v>
      </c>
      <c r="J376" s="134" t="s">
        <v>84</v>
      </c>
      <c r="L376" s="139">
        <v>100</v>
      </c>
      <c r="M376" s="140">
        <f>SUM(L376*F376)/100</f>
        <v>1214.29</v>
      </c>
    </row>
    <row r="377" spans="1:14" ht="15.5" x14ac:dyDescent="0.35">
      <c r="A377" s="2"/>
      <c r="B377" s="156"/>
      <c r="C377" s="133"/>
      <c r="E377" s="150"/>
      <c r="F377" s="133"/>
      <c r="G377" s="168"/>
      <c r="H377" s="169"/>
      <c r="I377" s="164"/>
      <c r="J377" s="134"/>
      <c r="L377" s="139"/>
      <c r="M377" s="133"/>
    </row>
    <row r="378" spans="1:14" ht="16" thickBot="1" x14ac:dyDescent="0.4">
      <c r="A378" s="2"/>
      <c r="B378" s="156" t="s">
        <v>165</v>
      </c>
      <c r="C378" s="143">
        <f>SUM(C376:C377)</f>
        <v>1214.29</v>
      </c>
      <c r="E378" s="32"/>
      <c r="F378" s="140">
        <f>SUM(F376:F377)</f>
        <v>1214.29</v>
      </c>
      <c r="G378" s="32"/>
      <c r="H378" s="32"/>
      <c r="I378" s="154"/>
      <c r="J378" s="32"/>
      <c r="L378" s="139"/>
      <c r="M378" s="143">
        <f>SUM(M376:M377)</f>
        <v>1214.29</v>
      </c>
    </row>
    <row r="379" spans="1:14" ht="16" thickTop="1" x14ac:dyDescent="0.35">
      <c r="A379" s="2"/>
      <c r="B379" s="156"/>
      <c r="C379" s="133"/>
      <c r="E379" s="32"/>
      <c r="F379" s="133"/>
      <c r="G379" s="32"/>
      <c r="H379" s="32"/>
      <c r="I379" s="154"/>
      <c r="J379" s="32"/>
      <c r="L379" s="139"/>
      <c r="M379" s="133"/>
    </row>
    <row r="380" spans="1:14" ht="15.5" x14ac:dyDescent="0.35">
      <c r="A380" s="2"/>
      <c r="B380" s="156"/>
      <c r="C380" s="133"/>
      <c r="E380" s="32"/>
      <c r="F380" s="133"/>
      <c r="G380" s="32"/>
      <c r="H380" s="32"/>
      <c r="I380" s="154"/>
      <c r="J380" s="32"/>
      <c r="L380" s="139"/>
      <c r="M380" s="133"/>
    </row>
    <row r="381" spans="1:14" ht="15.5" x14ac:dyDescent="0.35">
      <c r="A381" s="2"/>
      <c r="B381" s="156"/>
      <c r="C381" s="133"/>
      <c r="E381" s="32"/>
      <c r="F381" s="133"/>
      <c r="G381" s="32"/>
      <c r="H381" s="32"/>
      <c r="I381" s="154"/>
      <c r="J381" s="32"/>
      <c r="L381" s="139"/>
      <c r="M381" s="133"/>
    </row>
    <row r="382" spans="1:14" ht="16" thickBot="1" x14ac:dyDescent="0.4">
      <c r="A382" s="2"/>
      <c r="B382" s="130" t="s">
        <v>211</v>
      </c>
      <c r="C382" s="172">
        <f>SUM(+C203+C190+C45+C210+C57+C182+C217+C224+C254+C260+C122+C274+C284+C299+C306+C314+C322+C268+C331+C340+C348+C356+C363+C370+C378+C292)</f>
        <v>756071206.9199996</v>
      </c>
      <c r="F382" s="172">
        <f>SUM(+F203+F190+F45+F210+F57+F182+F217+F224+F254+F260+F122+F274+F284+F299+F306+F314+F322+F268+F331+F340+F348+F356+F363+F370+F378+F292)</f>
        <v>968733206.89999962</v>
      </c>
      <c r="G382" s="32"/>
      <c r="H382" s="32"/>
      <c r="I382" s="154"/>
      <c r="J382" s="32"/>
      <c r="L382" s="139"/>
      <c r="M382" s="172">
        <f>SUM(+M203+M190+M45+M210+M57+M182+M217+M224+M254+M260+M122+M274+M284+M299+M306+M314+M322+M268+M331+M340+M348+M356+M363+M370+M378+M292)</f>
        <v>966583803.04999959</v>
      </c>
      <c r="N382" s="25"/>
    </row>
    <row r="383" spans="1:14" ht="16" thickTop="1" x14ac:dyDescent="0.35">
      <c r="A383" s="2"/>
      <c r="B383" s="156"/>
      <c r="C383" s="133"/>
      <c r="F383" s="133"/>
      <c r="G383" s="32"/>
      <c r="I383" s="154"/>
      <c r="J383" s="32"/>
      <c r="L383" s="139"/>
      <c r="M383" s="133"/>
    </row>
    <row r="384" spans="1:14" ht="15.5" x14ac:dyDescent="0.35">
      <c r="A384" s="2"/>
      <c r="C384" s="133"/>
      <c r="F384" s="133"/>
      <c r="G384" s="32"/>
      <c r="I384" s="154"/>
      <c r="J384" s="32"/>
      <c r="L384" s="139"/>
      <c r="M384" s="133"/>
    </row>
    <row r="385" spans="1:13" ht="15.5" x14ac:dyDescent="0.35">
      <c r="A385" s="2"/>
      <c r="B385" s="156"/>
      <c r="C385" s="133"/>
      <c r="F385" s="133" t="s">
        <v>21</v>
      </c>
      <c r="G385" s="32"/>
      <c r="I385" s="154"/>
      <c r="J385" s="32"/>
      <c r="L385" s="139"/>
      <c r="M385" s="133"/>
    </row>
    <row r="386" spans="1:13" ht="15.5" x14ac:dyDescent="0.35">
      <c r="A386" s="2"/>
      <c r="B386" s="156"/>
      <c r="C386" s="133"/>
      <c r="F386" s="133"/>
      <c r="G386" s="32"/>
      <c r="I386" s="154"/>
      <c r="J386" s="32"/>
      <c r="L386" s="139"/>
      <c r="M386" s="133"/>
    </row>
    <row r="387" spans="1:13" ht="15.5" x14ac:dyDescent="0.35">
      <c r="A387" s="2"/>
      <c r="B387" s="156"/>
      <c r="C387" s="133"/>
      <c r="F387" s="133"/>
      <c r="I387" s="154"/>
      <c r="J387" s="32"/>
      <c r="L387" s="139"/>
      <c r="M387" s="133"/>
    </row>
    <row r="388" spans="1:13" ht="15.5" x14ac:dyDescent="0.35">
      <c r="A388" s="2"/>
      <c r="C388" s="133"/>
      <c r="F388" s="133"/>
      <c r="I388" s="154"/>
      <c r="J388" s="32"/>
      <c r="L388" s="139"/>
      <c r="M388" s="133"/>
    </row>
    <row r="389" spans="1:13" ht="15.5" x14ac:dyDescent="0.35">
      <c r="A389" s="2"/>
      <c r="C389" s="133"/>
      <c r="F389" s="133"/>
      <c r="I389" s="154"/>
      <c r="L389" s="139"/>
      <c r="M389" s="133"/>
    </row>
    <row r="390" spans="1:13" ht="15.5" x14ac:dyDescent="0.35">
      <c r="A390" s="2"/>
      <c r="C390" s="133"/>
      <c r="F390" s="133"/>
      <c r="I390" s="154"/>
      <c r="L390" s="139"/>
      <c r="M390" s="133"/>
    </row>
    <row r="391" spans="1:13" ht="15.5" x14ac:dyDescent="0.35">
      <c r="A391" s="2"/>
      <c r="C391" s="133"/>
      <c r="F391" s="133"/>
      <c r="I391" s="154"/>
      <c r="L391" s="139"/>
      <c r="M391" s="133"/>
    </row>
    <row r="392" spans="1:13" ht="15.5" x14ac:dyDescent="0.35">
      <c r="A392" s="2"/>
      <c r="C392" s="133"/>
      <c r="F392" s="133"/>
      <c r="I392" s="154"/>
      <c r="L392" s="139"/>
      <c r="M392" s="133"/>
    </row>
    <row r="393" spans="1:13" ht="15.5" x14ac:dyDescent="0.35">
      <c r="A393" s="2"/>
      <c r="C393" s="133"/>
      <c r="F393" s="133"/>
      <c r="I393" s="154"/>
      <c r="L393" s="139"/>
      <c r="M393" s="133"/>
    </row>
    <row r="394" spans="1:13" ht="15.5" x14ac:dyDescent="0.35">
      <c r="A394" s="2"/>
      <c r="C394" s="133"/>
      <c r="F394" s="133"/>
      <c r="I394" s="154"/>
      <c r="L394" s="139"/>
      <c r="M394" s="133"/>
    </row>
    <row r="395" spans="1:13" ht="15.5" x14ac:dyDescent="0.35">
      <c r="A395" s="2"/>
      <c r="C395" s="133"/>
      <c r="F395" s="133"/>
      <c r="I395" s="154"/>
      <c r="L395" s="139"/>
      <c r="M395" s="133"/>
    </row>
    <row r="396" spans="1:13" ht="15.5" x14ac:dyDescent="0.35">
      <c r="A396" s="2"/>
      <c r="B396" s="156"/>
      <c r="C396" s="133"/>
      <c r="F396" s="133"/>
      <c r="I396" s="154"/>
      <c r="L396" s="139"/>
      <c r="M396" s="133"/>
    </row>
    <row r="397" spans="1:13" ht="15.5" x14ac:dyDescent="0.35">
      <c r="A397" s="2"/>
      <c r="C397" s="133"/>
      <c r="F397" s="133"/>
      <c r="I397" s="154"/>
      <c r="L397" s="139"/>
      <c r="M397" s="133"/>
    </row>
    <row r="398" spans="1:13" ht="15.5" x14ac:dyDescent="0.35">
      <c r="A398" s="2"/>
      <c r="C398" s="133"/>
      <c r="F398" s="133"/>
      <c r="I398" s="154"/>
      <c r="L398" s="139"/>
      <c r="M398" s="133"/>
    </row>
    <row r="399" spans="1:13" ht="15.5" x14ac:dyDescent="0.35">
      <c r="A399" s="2"/>
      <c r="C399" s="133"/>
      <c r="F399" s="133"/>
      <c r="I399" s="154"/>
      <c r="L399" s="139"/>
      <c r="M399" s="133"/>
    </row>
    <row r="400" spans="1:13" ht="15.5" x14ac:dyDescent="0.35">
      <c r="A400" s="2"/>
      <c r="B400" s="147"/>
      <c r="C400" s="133"/>
      <c r="F400" s="133"/>
      <c r="I400" s="154"/>
      <c r="L400" s="139"/>
      <c r="M400" s="133"/>
    </row>
    <row r="401" spans="1:13" ht="15.5" x14ac:dyDescent="0.35">
      <c r="A401" s="2"/>
      <c r="B401" s="147"/>
      <c r="C401" s="133"/>
      <c r="F401" s="133"/>
      <c r="I401" s="154"/>
      <c r="L401" s="139"/>
      <c r="M401" s="133"/>
    </row>
    <row r="402" spans="1:13" ht="15.5" x14ac:dyDescent="0.35">
      <c r="A402" s="2"/>
      <c r="B402" s="147"/>
      <c r="C402" s="133"/>
      <c r="F402" s="133"/>
      <c r="I402" s="154"/>
      <c r="L402" s="139"/>
      <c r="M402" s="133"/>
    </row>
    <row r="403" spans="1:13" ht="15.5" x14ac:dyDescent="0.35">
      <c r="A403" s="2"/>
      <c r="B403" s="147"/>
      <c r="C403" s="133"/>
      <c r="F403" s="133"/>
      <c r="I403" s="154"/>
      <c r="L403" s="139"/>
      <c r="M403" s="133"/>
    </row>
    <row r="404" spans="1:13" ht="15.5" x14ac:dyDescent="0.35">
      <c r="A404" s="2"/>
      <c r="B404" s="147"/>
      <c r="C404" s="133"/>
      <c r="F404" s="133"/>
      <c r="I404" s="154"/>
      <c r="L404" s="139"/>
      <c r="M404" s="133"/>
    </row>
    <row r="405" spans="1:13" ht="15.5" x14ac:dyDescent="0.35">
      <c r="A405" s="2"/>
      <c r="B405" s="147"/>
      <c r="C405" s="133"/>
      <c r="F405" s="133"/>
      <c r="I405" s="154"/>
      <c r="L405" s="139"/>
      <c r="M405" s="133"/>
    </row>
    <row r="406" spans="1:13" ht="15.5" x14ac:dyDescent="0.35">
      <c r="A406" s="2"/>
      <c r="B406" s="147"/>
      <c r="C406" s="133"/>
      <c r="F406" s="133"/>
      <c r="I406" s="154"/>
      <c r="L406" s="139"/>
      <c r="M406" s="133"/>
    </row>
    <row r="407" spans="1:13" ht="15.5" x14ac:dyDescent="0.35">
      <c r="A407" s="2"/>
      <c r="B407" s="147"/>
      <c r="C407" s="133"/>
      <c r="F407" s="133"/>
      <c r="I407" s="154"/>
      <c r="L407" s="139"/>
      <c r="M407" s="133"/>
    </row>
    <row r="408" spans="1:13" ht="15.5" x14ac:dyDescent="0.35">
      <c r="A408" s="2"/>
      <c r="B408" s="147"/>
      <c r="C408" s="133"/>
      <c r="F408" s="133"/>
      <c r="I408" s="154"/>
      <c r="L408" s="139"/>
      <c r="M408" s="133"/>
    </row>
    <row r="409" spans="1:13" ht="15.5" x14ac:dyDescent="0.35">
      <c r="A409" s="2"/>
      <c r="B409" s="147"/>
      <c r="C409" s="133"/>
      <c r="F409" s="133"/>
      <c r="I409" s="154"/>
      <c r="L409" s="139"/>
      <c r="M409" s="133"/>
    </row>
    <row r="410" spans="1:13" ht="15.5" x14ac:dyDescent="0.35">
      <c r="A410" s="2"/>
      <c r="B410" s="147"/>
      <c r="C410" s="133"/>
      <c r="F410" s="133"/>
      <c r="I410" s="154"/>
      <c r="L410" s="139"/>
      <c r="M410" s="133"/>
    </row>
    <row r="411" spans="1:13" ht="15.5" x14ac:dyDescent="0.35">
      <c r="A411" s="2"/>
      <c r="B411" s="147"/>
      <c r="C411" s="133"/>
      <c r="F411" s="133"/>
      <c r="I411" s="154"/>
      <c r="L411" s="139"/>
      <c r="M411" s="133"/>
    </row>
    <row r="412" spans="1:13" ht="15.5" x14ac:dyDescent="0.35">
      <c r="A412" s="2"/>
      <c r="B412" s="147"/>
      <c r="C412" s="133"/>
      <c r="F412" s="133"/>
      <c r="I412" s="154"/>
      <c r="L412" s="139"/>
      <c r="M412" s="133"/>
    </row>
    <row r="413" spans="1:13" ht="15.5" x14ac:dyDescent="0.35">
      <c r="A413" s="2"/>
      <c r="B413" s="147"/>
      <c r="C413" s="133"/>
      <c r="F413" s="133"/>
      <c r="I413" s="154"/>
      <c r="L413" s="139"/>
      <c r="M413" s="133"/>
    </row>
    <row r="414" spans="1:13" ht="15.5" x14ac:dyDescent="0.35">
      <c r="A414" s="2"/>
      <c r="B414" s="147"/>
      <c r="C414" s="133"/>
      <c r="F414" s="133"/>
      <c r="I414" s="154"/>
      <c r="L414" s="139"/>
      <c r="M414" s="133"/>
    </row>
    <row r="415" spans="1:13" ht="15.5" x14ac:dyDescent="0.35">
      <c r="A415" s="2"/>
      <c r="B415" s="147"/>
      <c r="C415" s="133"/>
      <c r="F415" s="133"/>
      <c r="I415" s="154"/>
      <c r="L415" s="139"/>
      <c r="M415" s="133"/>
    </row>
    <row r="416" spans="1:13" ht="15.5" x14ac:dyDescent="0.35">
      <c r="A416" s="2"/>
      <c r="B416" s="147"/>
      <c r="C416" s="133"/>
      <c r="F416" s="133"/>
      <c r="I416" s="154"/>
      <c r="L416" s="139"/>
      <c r="M416" s="133"/>
    </row>
    <row r="417" spans="1:13" ht="15.5" x14ac:dyDescent="0.35">
      <c r="A417" s="2"/>
      <c r="B417" s="147"/>
      <c r="C417" s="133"/>
      <c r="F417" s="133"/>
      <c r="I417" s="154"/>
      <c r="L417" s="139"/>
      <c r="M417" s="133"/>
    </row>
    <row r="418" spans="1:13" ht="15.5" x14ac:dyDescent="0.35">
      <c r="A418" s="2"/>
      <c r="B418" s="147"/>
      <c r="C418" s="133"/>
      <c r="F418" s="133"/>
      <c r="I418" s="154"/>
      <c r="L418" s="139"/>
      <c r="M418" s="133"/>
    </row>
    <row r="419" spans="1:13" ht="15.5" x14ac:dyDescent="0.35">
      <c r="A419" s="2"/>
      <c r="B419" s="147"/>
      <c r="C419" s="133"/>
      <c r="F419" s="133"/>
      <c r="I419" s="154"/>
      <c r="L419" s="139"/>
      <c r="M419" s="133"/>
    </row>
    <row r="420" spans="1:13" ht="15.5" x14ac:dyDescent="0.35">
      <c r="A420" s="2"/>
      <c r="B420" s="147"/>
      <c r="C420" s="133"/>
      <c r="F420" s="133"/>
      <c r="I420" s="154"/>
      <c r="L420" s="139"/>
      <c r="M420" s="133"/>
    </row>
    <row r="421" spans="1:13" ht="15.5" x14ac:dyDescent="0.35">
      <c r="A421" s="2"/>
      <c r="B421" s="147"/>
      <c r="C421" s="133"/>
      <c r="F421" s="133"/>
      <c r="I421" s="154"/>
      <c r="L421" s="139"/>
      <c r="M421" s="133"/>
    </row>
    <row r="422" spans="1:13" ht="15.5" x14ac:dyDescent="0.35">
      <c r="A422" s="2"/>
      <c r="B422" s="147"/>
      <c r="C422" s="133"/>
      <c r="F422" s="133"/>
      <c r="I422" s="154"/>
      <c r="L422" s="139"/>
      <c r="M422" s="133"/>
    </row>
    <row r="423" spans="1:13" ht="15.5" x14ac:dyDescent="0.35">
      <c r="A423" s="2"/>
      <c r="B423" s="147"/>
      <c r="C423" s="133"/>
      <c r="F423" s="133"/>
      <c r="I423" s="154"/>
      <c r="L423" s="139"/>
      <c r="M423" s="133"/>
    </row>
    <row r="424" spans="1:13" ht="15.5" x14ac:dyDescent="0.35">
      <c r="A424" s="2"/>
      <c r="B424" s="147"/>
      <c r="C424" s="133"/>
      <c r="F424" s="133"/>
      <c r="I424" s="154"/>
      <c r="L424" s="139"/>
      <c r="M424" s="133"/>
    </row>
    <row r="425" spans="1:13" ht="15.5" x14ac:dyDescent="0.35">
      <c r="A425" s="2"/>
      <c r="B425" s="147"/>
      <c r="C425" s="133"/>
      <c r="F425" s="133"/>
      <c r="I425" s="154"/>
      <c r="L425" s="139"/>
      <c r="M425" s="133"/>
    </row>
    <row r="426" spans="1:13" ht="15.5" x14ac:dyDescent="0.35">
      <c r="A426" s="2"/>
      <c r="B426" s="147"/>
      <c r="C426" s="133"/>
      <c r="F426" s="133"/>
      <c r="I426" s="154"/>
      <c r="L426" s="139"/>
      <c r="M426" s="133"/>
    </row>
    <row r="427" spans="1:13" ht="15.5" x14ac:dyDescent="0.35">
      <c r="A427" s="2"/>
      <c r="B427" s="147"/>
      <c r="C427" s="133"/>
      <c r="F427" s="133"/>
      <c r="I427" s="154"/>
      <c r="L427" s="139"/>
      <c r="M427" s="133"/>
    </row>
    <row r="428" spans="1:13" ht="15.5" x14ac:dyDescent="0.35">
      <c r="A428" s="2"/>
      <c r="B428" s="147"/>
      <c r="C428" s="133"/>
      <c r="F428" s="133"/>
      <c r="I428" s="154"/>
      <c r="L428" s="139"/>
      <c r="M428" s="133"/>
    </row>
    <row r="429" spans="1:13" ht="15.5" x14ac:dyDescent="0.35">
      <c r="A429" s="2"/>
      <c r="B429" s="147"/>
      <c r="C429" s="133"/>
      <c r="F429" s="133"/>
      <c r="I429" s="154"/>
      <c r="L429" s="139"/>
      <c r="M429" s="133"/>
    </row>
    <row r="430" spans="1:13" ht="15.5" x14ac:dyDescent="0.35">
      <c r="A430" s="2"/>
      <c r="B430" s="147"/>
      <c r="C430" s="133"/>
      <c r="F430" s="133"/>
      <c r="I430" s="154"/>
      <c r="L430" s="139"/>
      <c r="M430" s="133"/>
    </row>
    <row r="431" spans="1:13" ht="15.5" x14ac:dyDescent="0.35">
      <c r="A431" s="2"/>
      <c r="B431" s="147"/>
      <c r="C431" s="133"/>
      <c r="F431" s="133"/>
      <c r="I431" s="154"/>
      <c r="L431" s="139"/>
      <c r="M431" s="133"/>
    </row>
    <row r="432" spans="1:13" ht="15.5" x14ac:dyDescent="0.35">
      <c r="A432" s="2"/>
      <c r="B432" s="147"/>
      <c r="C432" s="133"/>
      <c r="F432" s="133"/>
      <c r="I432" s="154"/>
      <c r="L432" s="139"/>
      <c r="M432" s="133"/>
    </row>
    <row r="433" spans="1:13" ht="15.5" x14ac:dyDescent="0.35">
      <c r="A433" s="2"/>
      <c r="B433" s="147"/>
      <c r="C433" s="133"/>
      <c r="F433" s="133"/>
      <c r="I433" s="154"/>
      <c r="L433" s="139"/>
      <c r="M433" s="133"/>
    </row>
    <row r="434" spans="1:13" ht="15.5" x14ac:dyDescent="0.35">
      <c r="A434" s="2"/>
      <c r="B434" s="147"/>
      <c r="C434" s="133"/>
      <c r="F434" s="133"/>
      <c r="I434" s="154"/>
      <c r="L434" s="139"/>
      <c r="M434" s="133"/>
    </row>
    <row r="435" spans="1:13" ht="15.5" x14ac:dyDescent="0.35">
      <c r="A435" s="2"/>
      <c r="B435" s="147"/>
      <c r="C435" s="133"/>
      <c r="F435" s="133"/>
      <c r="I435" s="154"/>
      <c r="L435" s="139"/>
      <c r="M435" s="133"/>
    </row>
    <row r="436" spans="1:13" ht="15.5" x14ac:dyDescent="0.35">
      <c r="A436" s="2"/>
      <c r="B436" s="147"/>
      <c r="C436" s="133"/>
      <c r="F436" s="133"/>
      <c r="I436" s="154"/>
      <c r="L436" s="139"/>
      <c r="M436" s="133"/>
    </row>
    <row r="437" spans="1:13" ht="15.5" x14ac:dyDescent="0.35">
      <c r="A437" s="2"/>
      <c r="B437" s="147"/>
      <c r="C437" s="133"/>
      <c r="F437" s="133"/>
      <c r="I437" s="154"/>
      <c r="L437" s="139"/>
      <c r="M437" s="133"/>
    </row>
    <row r="438" spans="1:13" ht="15.5" x14ac:dyDescent="0.35">
      <c r="A438" s="2"/>
      <c r="B438" s="147"/>
      <c r="C438" s="133"/>
      <c r="F438" s="133"/>
      <c r="I438" s="154"/>
      <c r="L438" s="139"/>
      <c r="M438" s="133"/>
    </row>
    <row r="439" spans="1:13" ht="15.5" x14ac:dyDescent="0.35">
      <c r="A439" s="2"/>
      <c r="B439" s="147"/>
      <c r="C439" s="133"/>
      <c r="F439" s="133"/>
      <c r="I439" s="154"/>
      <c r="L439" s="139"/>
      <c r="M439" s="133"/>
    </row>
    <row r="440" spans="1:13" ht="15.5" x14ac:dyDescent="0.35">
      <c r="A440" s="2"/>
      <c r="B440" s="147"/>
      <c r="C440" s="133"/>
      <c r="F440" s="133"/>
      <c r="I440" s="154"/>
      <c r="L440" s="139"/>
      <c r="M440" s="133"/>
    </row>
    <row r="441" spans="1:13" ht="15.5" x14ac:dyDescent="0.35">
      <c r="A441" s="2"/>
      <c r="B441" s="147"/>
      <c r="C441" s="133"/>
      <c r="F441" s="133"/>
      <c r="I441" s="154"/>
      <c r="L441" s="139"/>
      <c r="M441" s="133"/>
    </row>
    <row r="442" spans="1:13" ht="15.5" x14ac:dyDescent="0.35">
      <c r="A442" s="2"/>
      <c r="B442" s="147"/>
      <c r="C442" s="133"/>
      <c r="F442" s="133"/>
      <c r="I442" s="154"/>
      <c r="L442" s="139"/>
      <c r="M442" s="133"/>
    </row>
    <row r="443" spans="1:13" ht="15.5" x14ac:dyDescent="0.35">
      <c r="A443" s="2"/>
      <c r="B443" s="147"/>
      <c r="C443" s="133"/>
      <c r="F443" s="133"/>
      <c r="I443" s="154"/>
      <c r="L443" s="139"/>
      <c r="M443" s="133"/>
    </row>
    <row r="444" spans="1:13" ht="15.5" x14ac:dyDescent="0.35">
      <c r="A444" s="2"/>
      <c r="B444" s="147"/>
      <c r="C444" s="133"/>
      <c r="F444" s="133"/>
      <c r="I444" s="154"/>
      <c r="L444" s="139"/>
      <c r="M444" s="133"/>
    </row>
    <row r="445" spans="1:13" ht="15.5" x14ac:dyDescent="0.35">
      <c r="A445" s="2"/>
      <c r="B445" s="147"/>
      <c r="C445" s="133"/>
      <c r="F445" s="133"/>
      <c r="I445" s="154"/>
      <c r="L445" s="139"/>
      <c r="M445" s="133"/>
    </row>
    <row r="446" spans="1:13" ht="15.5" x14ac:dyDescent="0.35">
      <c r="A446" s="2"/>
      <c r="B446" s="147"/>
      <c r="C446" s="133"/>
      <c r="F446" s="133"/>
      <c r="I446" s="154"/>
      <c r="L446" s="139"/>
      <c r="M446" s="133"/>
    </row>
    <row r="447" spans="1:13" ht="15.5" x14ac:dyDescent="0.35">
      <c r="A447" s="2"/>
      <c r="B447" s="147"/>
      <c r="C447" s="133"/>
      <c r="F447" s="133"/>
      <c r="I447" s="154"/>
      <c r="L447" s="139"/>
      <c r="M447" s="133"/>
    </row>
    <row r="448" spans="1:13" ht="15.5" x14ac:dyDescent="0.35">
      <c r="A448" s="2"/>
      <c r="B448" s="147"/>
      <c r="C448" s="133"/>
      <c r="F448" s="133"/>
      <c r="I448" s="154"/>
      <c r="L448" s="139"/>
      <c r="M448" s="133"/>
    </row>
    <row r="449" spans="1:13" ht="15.5" x14ac:dyDescent="0.35">
      <c r="A449" s="2"/>
      <c r="B449" s="147"/>
      <c r="C449" s="133"/>
      <c r="F449" s="133"/>
      <c r="I449" s="154"/>
      <c r="L449" s="139"/>
      <c r="M449" s="133"/>
    </row>
    <row r="450" spans="1:13" ht="15.5" x14ac:dyDescent="0.35">
      <c r="A450" s="2"/>
      <c r="B450" s="147"/>
      <c r="C450" s="133"/>
      <c r="F450" s="133"/>
      <c r="I450" s="154"/>
      <c r="L450" s="139"/>
      <c r="M450" s="133"/>
    </row>
    <row r="451" spans="1:13" ht="15.5" x14ac:dyDescent="0.35">
      <c r="A451" s="2"/>
      <c r="B451" s="147"/>
      <c r="C451" s="133"/>
      <c r="F451" s="133"/>
      <c r="I451" s="154"/>
      <c r="L451" s="139"/>
      <c r="M451" s="133"/>
    </row>
    <row r="452" spans="1:13" ht="15.5" x14ac:dyDescent="0.35">
      <c r="A452" s="2"/>
      <c r="B452" s="147"/>
      <c r="C452" s="133"/>
      <c r="F452" s="133"/>
      <c r="I452" s="154"/>
      <c r="L452" s="139"/>
      <c r="M452" s="133"/>
    </row>
    <row r="453" spans="1:13" ht="15.5" x14ac:dyDescent="0.35">
      <c r="A453" s="2"/>
      <c r="B453" s="147"/>
      <c r="C453" s="133"/>
      <c r="F453" s="133"/>
      <c r="I453" s="154"/>
      <c r="L453" s="139"/>
      <c r="M453" s="133"/>
    </row>
    <row r="454" spans="1:13" ht="15.5" x14ac:dyDescent="0.35">
      <c r="A454" s="2"/>
      <c r="B454" s="147"/>
      <c r="C454" s="133"/>
      <c r="F454" s="133"/>
      <c r="I454" s="154"/>
      <c r="L454" s="139"/>
      <c r="M454" s="133"/>
    </row>
    <row r="455" spans="1:13" ht="15.5" x14ac:dyDescent="0.35">
      <c r="A455" s="2"/>
      <c r="B455" s="147"/>
      <c r="C455" s="133"/>
      <c r="F455" s="133"/>
      <c r="I455" s="154"/>
      <c r="L455" s="139"/>
      <c r="M455" s="133"/>
    </row>
    <row r="456" spans="1:13" ht="15.5" x14ac:dyDescent="0.35">
      <c r="A456" s="2"/>
      <c r="B456" s="147"/>
      <c r="C456" s="133"/>
      <c r="F456" s="133"/>
      <c r="I456" s="154"/>
      <c r="L456" s="139"/>
      <c r="M456" s="133"/>
    </row>
    <row r="457" spans="1:13" ht="15.5" x14ac:dyDescent="0.35">
      <c r="A457" s="2"/>
      <c r="B457" s="147"/>
      <c r="C457" s="133"/>
      <c r="F457" s="133"/>
      <c r="I457" s="154"/>
      <c r="L457" s="139"/>
      <c r="M457" s="133"/>
    </row>
    <row r="458" spans="1:13" ht="15.5" x14ac:dyDescent="0.35">
      <c r="A458" s="2"/>
      <c r="B458" s="147"/>
      <c r="C458" s="133"/>
      <c r="F458" s="133"/>
      <c r="I458" s="154"/>
      <c r="L458" s="139"/>
      <c r="M458" s="133"/>
    </row>
    <row r="459" spans="1:13" ht="15.5" x14ac:dyDescent="0.35">
      <c r="A459" s="2"/>
      <c r="B459" s="147"/>
      <c r="C459" s="133"/>
      <c r="F459" s="133"/>
      <c r="I459" s="154"/>
      <c r="L459" s="139"/>
      <c r="M459" s="133"/>
    </row>
    <row r="460" spans="1:13" ht="15.5" x14ac:dyDescent="0.35">
      <c r="A460" s="2"/>
      <c r="B460" s="147"/>
      <c r="C460" s="133"/>
      <c r="F460" s="133"/>
      <c r="I460" s="154"/>
      <c r="L460" s="139"/>
      <c r="M460" s="133"/>
    </row>
    <row r="461" spans="1:13" ht="15.5" x14ac:dyDescent="0.35">
      <c r="A461" s="2"/>
      <c r="B461" s="147"/>
      <c r="C461" s="133"/>
      <c r="F461" s="133"/>
      <c r="I461" s="154"/>
      <c r="L461" s="139"/>
      <c r="M461" s="133"/>
    </row>
    <row r="462" spans="1:13" ht="15.5" x14ac:dyDescent="0.35">
      <c r="A462" s="2"/>
      <c r="B462" s="147"/>
      <c r="C462" s="133"/>
      <c r="F462" s="133"/>
      <c r="I462" s="154"/>
      <c r="L462" s="139"/>
      <c r="M462" s="133"/>
    </row>
    <row r="463" spans="1:13" ht="15.5" x14ac:dyDescent="0.35">
      <c r="A463" s="2"/>
      <c r="B463" s="147"/>
      <c r="C463" s="133"/>
      <c r="F463" s="133"/>
      <c r="I463" s="154"/>
      <c r="L463" s="139"/>
      <c r="M463" s="133"/>
    </row>
    <row r="464" spans="1:13" ht="15.5" x14ac:dyDescent="0.35">
      <c r="A464" s="2"/>
      <c r="B464" s="147"/>
      <c r="C464" s="133"/>
      <c r="F464" s="133"/>
      <c r="I464" s="154"/>
      <c r="L464" s="139"/>
      <c r="M464" s="133"/>
    </row>
    <row r="465" spans="1:13" ht="15.5" x14ac:dyDescent="0.35">
      <c r="A465" s="2"/>
      <c r="B465" s="147"/>
      <c r="C465" s="133"/>
      <c r="F465" s="133"/>
      <c r="I465" s="154"/>
      <c r="L465" s="139"/>
      <c r="M465" s="133"/>
    </row>
    <row r="466" spans="1:13" ht="15.5" x14ac:dyDescent="0.35">
      <c r="A466" s="2"/>
      <c r="B466" s="147"/>
      <c r="C466" s="133"/>
      <c r="F466" s="133"/>
      <c r="I466" s="154"/>
      <c r="L466" s="139"/>
      <c r="M466" s="133"/>
    </row>
    <row r="467" spans="1:13" ht="15.5" x14ac:dyDescent="0.35">
      <c r="A467" s="2"/>
      <c r="B467" s="147"/>
      <c r="C467" s="133"/>
      <c r="F467" s="133"/>
      <c r="I467" s="154"/>
      <c r="L467" s="139"/>
      <c r="M467" s="133"/>
    </row>
    <row r="468" spans="1:13" ht="15.5" x14ac:dyDescent="0.35">
      <c r="A468" s="2"/>
      <c r="B468" s="147"/>
      <c r="C468" s="133"/>
      <c r="F468" s="133"/>
      <c r="I468" s="154"/>
      <c r="L468" s="139"/>
      <c r="M468" s="133"/>
    </row>
    <row r="469" spans="1:13" ht="15.5" x14ac:dyDescent="0.35">
      <c r="A469" s="2"/>
      <c r="B469" s="147"/>
      <c r="C469" s="133"/>
      <c r="F469" s="133"/>
      <c r="I469" s="154"/>
      <c r="L469" s="139"/>
      <c r="M469" s="133"/>
    </row>
    <row r="470" spans="1:13" ht="15.5" x14ac:dyDescent="0.35">
      <c r="A470" s="2"/>
      <c r="B470" s="147"/>
      <c r="C470" s="133"/>
      <c r="F470" s="133"/>
      <c r="I470" s="154"/>
      <c r="L470" s="139"/>
      <c r="M470" s="133"/>
    </row>
    <row r="471" spans="1:13" ht="15.5" x14ac:dyDescent="0.35">
      <c r="A471" s="2"/>
      <c r="B471" s="147"/>
      <c r="C471" s="133"/>
      <c r="F471" s="133"/>
      <c r="I471" s="154"/>
      <c r="L471" s="139"/>
      <c r="M471" s="133"/>
    </row>
    <row r="472" spans="1:13" ht="15.5" x14ac:dyDescent="0.35">
      <c r="A472" s="2"/>
      <c r="B472" s="147"/>
      <c r="C472" s="133"/>
      <c r="F472" s="133"/>
      <c r="I472" s="154"/>
      <c r="L472" s="139"/>
      <c r="M472" s="133"/>
    </row>
    <row r="473" spans="1:13" ht="15.5" x14ac:dyDescent="0.35">
      <c r="A473" s="2"/>
      <c r="B473" s="147"/>
      <c r="C473" s="133"/>
      <c r="F473" s="133"/>
      <c r="I473" s="154"/>
      <c r="L473" s="139"/>
      <c r="M473" s="133"/>
    </row>
    <row r="474" spans="1:13" ht="15.5" x14ac:dyDescent="0.35">
      <c r="A474" s="2"/>
      <c r="B474" s="147"/>
      <c r="C474" s="133"/>
      <c r="F474" s="133"/>
      <c r="I474" s="154"/>
      <c r="L474" s="139"/>
      <c r="M474" s="133"/>
    </row>
    <row r="475" spans="1:13" ht="15.5" x14ac:dyDescent="0.35">
      <c r="A475" s="2"/>
      <c r="B475" s="147"/>
      <c r="C475" s="133"/>
      <c r="F475" s="133"/>
      <c r="I475" s="154"/>
      <c r="L475" s="139"/>
      <c r="M475" s="133"/>
    </row>
    <row r="476" spans="1:13" ht="15.5" x14ac:dyDescent="0.35">
      <c r="A476" s="2"/>
      <c r="B476" s="147"/>
      <c r="C476" s="133"/>
      <c r="F476" s="133"/>
      <c r="I476" s="154"/>
      <c r="L476" s="139"/>
      <c r="M476" s="133"/>
    </row>
    <row r="477" spans="1:13" ht="15.5" x14ac:dyDescent="0.35">
      <c r="A477" s="2"/>
      <c r="B477" s="147"/>
      <c r="C477" s="133"/>
      <c r="F477" s="133"/>
      <c r="I477" s="154"/>
      <c r="L477" s="139"/>
      <c r="M477" s="133"/>
    </row>
    <row r="478" spans="1:13" ht="15.5" x14ac:dyDescent="0.35">
      <c r="A478" s="2"/>
      <c r="B478" s="147"/>
      <c r="C478" s="133"/>
      <c r="F478" s="133"/>
      <c r="I478" s="154"/>
      <c r="L478" s="139"/>
      <c r="M478" s="133"/>
    </row>
    <row r="479" spans="1:13" ht="15.5" x14ac:dyDescent="0.35">
      <c r="A479" s="2"/>
      <c r="B479" s="147"/>
      <c r="C479" s="133"/>
      <c r="F479" s="133"/>
      <c r="I479" s="154"/>
      <c r="L479" s="139"/>
      <c r="M479" s="133"/>
    </row>
    <row r="480" spans="1:13" ht="15.5" x14ac:dyDescent="0.35">
      <c r="A480" s="2"/>
      <c r="B480" s="147"/>
      <c r="C480" s="133"/>
      <c r="F480" s="133"/>
      <c r="I480" s="154"/>
      <c r="L480" s="139"/>
      <c r="M480" s="133"/>
    </row>
    <row r="481" spans="1:13" ht="15.5" x14ac:dyDescent="0.35">
      <c r="A481" s="2"/>
      <c r="B481" s="147"/>
      <c r="C481" s="133"/>
      <c r="F481" s="133"/>
      <c r="I481" s="154"/>
      <c r="L481" s="139"/>
      <c r="M481" s="133"/>
    </row>
    <row r="482" spans="1:13" ht="15.5" x14ac:dyDescent="0.35">
      <c r="A482" s="2"/>
      <c r="B482" s="147"/>
      <c r="C482" s="133"/>
      <c r="F482" s="133"/>
      <c r="I482" s="154"/>
      <c r="L482" s="139"/>
      <c r="M482" s="133"/>
    </row>
    <row r="483" spans="1:13" ht="15.5" x14ac:dyDescent="0.35">
      <c r="A483" s="2"/>
      <c r="B483" s="147"/>
      <c r="C483" s="133"/>
      <c r="F483" s="133"/>
      <c r="I483" s="154"/>
      <c r="L483" s="139"/>
      <c r="M483" s="133"/>
    </row>
    <row r="484" spans="1:13" ht="15.5" x14ac:dyDescent="0.35">
      <c r="A484" s="2"/>
      <c r="B484" s="147"/>
      <c r="C484" s="133"/>
      <c r="F484" s="133"/>
      <c r="I484" s="154"/>
      <c r="L484" s="139"/>
      <c r="M484" s="133"/>
    </row>
    <row r="485" spans="1:13" ht="15.5" x14ac:dyDescent="0.35">
      <c r="A485" s="2"/>
      <c r="B485" s="147"/>
      <c r="C485" s="133"/>
      <c r="F485" s="133"/>
      <c r="I485" s="154"/>
      <c r="L485" s="139"/>
      <c r="M485" s="133"/>
    </row>
    <row r="486" spans="1:13" ht="15.5" x14ac:dyDescent="0.35">
      <c r="A486" s="2"/>
      <c r="B486" s="147"/>
      <c r="C486" s="133"/>
      <c r="F486" s="133"/>
      <c r="I486" s="154"/>
      <c r="L486" s="139"/>
      <c r="M486" s="133"/>
    </row>
    <row r="487" spans="1:13" ht="15.5" x14ac:dyDescent="0.35">
      <c r="A487" s="2"/>
      <c r="B487" s="147"/>
      <c r="C487" s="133"/>
      <c r="F487" s="133"/>
      <c r="I487" s="154"/>
      <c r="L487" s="139"/>
      <c r="M487" s="133"/>
    </row>
    <row r="488" spans="1:13" ht="15.5" x14ac:dyDescent="0.35">
      <c r="A488" s="2"/>
      <c r="B488" s="147"/>
      <c r="C488" s="133"/>
      <c r="F488" s="133"/>
      <c r="I488" s="154"/>
      <c r="L488" s="139"/>
      <c r="M488" s="133"/>
    </row>
    <row r="489" spans="1:13" ht="15.5" x14ac:dyDescent="0.35">
      <c r="A489" s="2"/>
      <c r="B489" s="147"/>
      <c r="C489" s="133"/>
      <c r="F489" s="133"/>
      <c r="I489" s="154"/>
      <c r="L489" s="139"/>
      <c r="M489" s="133"/>
    </row>
    <row r="490" spans="1:13" ht="15.5" x14ac:dyDescent="0.35">
      <c r="A490" s="2"/>
      <c r="B490" s="147"/>
      <c r="C490" s="133"/>
      <c r="F490" s="133"/>
      <c r="I490" s="154"/>
      <c r="L490" s="139"/>
      <c r="M490" s="133"/>
    </row>
    <row r="491" spans="1:13" ht="15.5" x14ac:dyDescent="0.35">
      <c r="A491" s="2"/>
      <c r="B491" s="147"/>
      <c r="C491" s="133"/>
      <c r="F491" s="133"/>
      <c r="I491" s="154"/>
      <c r="L491" s="139"/>
      <c r="M491" s="133"/>
    </row>
    <row r="492" spans="1:13" ht="15.5" x14ac:dyDescent="0.35">
      <c r="A492" s="2"/>
      <c r="B492" s="147"/>
      <c r="C492" s="133"/>
      <c r="F492" s="133"/>
      <c r="I492" s="154"/>
      <c r="L492" s="139"/>
      <c r="M492" s="133"/>
    </row>
    <row r="493" spans="1:13" ht="15.5" x14ac:dyDescent="0.35">
      <c r="A493" s="2"/>
      <c r="B493" s="147"/>
      <c r="C493" s="133"/>
      <c r="F493" s="133"/>
      <c r="I493" s="154"/>
      <c r="L493" s="139"/>
      <c r="M493" s="133"/>
    </row>
    <row r="494" spans="1:13" ht="15.5" x14ac:dyDescent="0.35">
      <c r="A494" s="2"/>
      <c r="B494" s="147"/>
      <c r="C494" s="133"/>
      <c r="F494" s="133"/>
      <c r="I494" s="154"/>
      <c r="L494" s="139"/>
      <c r="M494" s="133"/>
    </row>
    <row r="495" spans="1:13" ht="15.5" x14ac:dyDescent="0.35">
      <c r="A495" s="2"/>
      <c r="B495" s="147"/>
      <c r="C495" s="133"/>
      <c r="F495" s="133"/>
      <c r="I495" s="154"/>
      <c r="L495" s="139"/>
      <c r="M495" s="133"/>
    </row>
    <row r="496" spans="1:13" ht="15.5" x14ac:dyDescent="0.35">
      <c r="A496" s="2"/>
      <c r="B496" s="147"/>
      <c r="C496" s="133"/>
      <c r="F496" s="133"/>
      <c r="I496" s="154"/>
      <c r="L496" s="139"/>
      <c r="M496" s="133"/>
    </row>
    <row r="497" spans="1:13" ht="15.5" x14ac:dyDescent="0.35">
      <c r="A497" s="2"/>
      <c r="B497" s="147"/>
      <c r="C497" s="133"/>
      <c r="F497" s="133"/>
      <c r="I497" s="154"/>
      <c r="L497" s="139"/>
      <c r="M497" s="133"/>
    </row>
    <row r="498" spans="1:13" ht="15.5" x14ac:dyDescent="0.35">
      <c r="A498" s="2"/>
      <c r="B498" s="147"/>
      <c r="C498" s="133"/>
      <c r="F498" s="133"/>
      <c r="I498" s="154"/>
      <c r="L498" s="139"/>
      <c r="M498" s="133"/>
    </row>
    <row r="499" spans="1:13" ht="15.5" x14ac:dyDescent="0.35">
      <c r="A499" s="2"/>
      <c r="B499" s="147"/>
      <c r="C499" s="133"/>
      <c r="F499" s="133"/>
      <c r="I499" s="154"/>
      <c r="L499" s="139"/>
      <c r="M499" s="133"/>
    </row>
    <row r="500" spans="1:13" ht="15.5" x14ac:dyDescent="0.35">
      <c r="A500" s="2"/>
      <c r="B500" s="147"/>
      <c r="C500" s="133"/>
      <c r="F500" s="133"/>
      <c r="I500" s="154"/>
      <c r="L500" s="139"/>
      <c r="M500" s="133"/>
    </row>
    <row r="501" spans="1:13" ht="15.5" x14ac:dyDescent="0.35">
      <c r="A501" s="2"/>
      <c r="B501" s="147"/>
      <c r="C501" s="133"/>
      <c r="F501" s="133"/>
      <c r="I501" s="154"/>
      <c r="L501" s="139"/>
      <c r="M501" s="133"/>
    </row>
    <row r="502" spans="1:13" ht="15.5" x14ac:dyDescent="0.35">
      <c r="A502" s="2"/>
      <c r="B502" s="147"/>
      <c r="C502" s="133"/>
      <c r="F502" s="133"/>
      <c r="I502" s="154"/>
      <c r="L502" s="139"/>
      <c r="M502" s="133"/>
    </row>
    <row r="503" spans="1:13" ht="15.5" x14ac:dyDescent="0.35">
      <c r="A503" s="2"/>
      <c r="B503" s="147"/>
      <c r="C503" s="133"/>
      <c r="F503" s="133"/>
      <c r="I503" s="154"/>
      <c r="L503" s="139"/>
      <c r="M503" s="133"/>
    </row>
    <row r="504" spans="1:13" ht="15.5" x14ac:dyDescent="0.35">
      <c r="A504" s="2"/>
      <c r="B504" s="147"/>
      <c r="C504" s="133"/>
      <c r="F504" s="133"/>
      <c r="I504" s="154"/>
      <c r="L504" s="139"/>
      <c r="M504" s="133"/>
    </row>
    <row r="505" spans="1:13" ht="15.5" x14ac:dyDescent="0.35">
      <c r="A505" s="2"/>
      <c r="B505" s="147"/>
      <c r="C505" s="133"/>
      <c r="F505" s="133"/>
      <c r="I505" s="154"/>
      <c r="L505" s="139"/>
      <c r="M505" s="133"/>
    </row>
    <row r="506" spans="1:13" ht="15.5" x14ac:dyDescent="0.35">
      <c r="A506" s="2"/>
      <c r="B506" s="147"/>
      <c r="C506" s="133"/>
      <c r="F506" s="133"/>
      <c r="I506" s="154"/>
      <c r="L506" s="139"/>
      <c r="M506" s="133"/>
    </row>
    <row r="507" spans="1:13" ht="15.5" x14ac:dyDescent="0.35">
      <c r="A507" s="2"/>
      <c r="B507" s="147"/>
      <c r="C507" s="133"/>
      <c r="F507" s="133"/>
      <c r="I507" s="154"/>
      <c r="L507" s="139"/>
      <c r="M507" s="133"/>
    </row>
    <row r="508" spans="1:13" ht="15.5" x14ac:dyDescent="0.35">
      <c r="A508" s="2"/>
      <c r="B508" s="147"/>
      <c r="C508" s="133"/>
      <c r="F508" s="133"/>
      <c r="I508" s="154"/>
      <c r="L508" s="139"/>
      <c r="M508" s="133"/>
    </row>
    <row r="509" spans="1:13" ht="15.5" x14ac:dyDescent="0.35">
      <c r="A509" s="2"/>
      <c r="B509" s="147"/>
      <c r="C509" s="133"/>
      <c r="F509" s="133"/>
      <c r="I509" s="154"/>
      <c r="L509" s="139"/>
      <c r="M509" s="133"/>
    </row>
    <row r="510" spans="1:13" ht="15.5" x14ac:dyDescent="0.35">
      <c r="A510" s="2"/>
      <c r="B510" s="147"/>
      <c r="C510" s="133"/>
      <c r="F510" s="133"/>
      <c r="I510" s="154"/>
      <c r="L510" s="139"/>
      <c r="M510" s="133"/>
    </row>
    <row r="511" spans="1:13" ht="15.5" x14ac:dyDescent="0.35">
      <c r="A511" s="2"/>
      <c r="B511" s="147"/>
      <c r="C511" s="133"/>
      <c r="F511" s="133"/>
      <c r="I511" s="154"/>
      <c r="L511" s="139"/>
      <c r="M511" s="133"/>
    </row>
    <row r="512" spans="1:13" ht="15.5" x14ac:dyDescent="0.35">
      <c r="A512" s="2"/>
      <c r="B512" s="147"/>
      <c r="C512" s="133"/>
      <c r="F512" s="133"/>
      <c r="I512" s="154"/>
      <c r="L512" s="139"/>
      <c r="M512" s="133"/>
    </row>
    <row r="513" spans="1:13" ht="15.5" x14ac:dyDescent="0.35">
      <c r="A513" s="2"/>
      <c r="B513" s="147"/>
      <c r="C513" s="133"/>
      <c r="F513" s="133"/>
      <c r="I513" s="154"/>
      <c r="L513" s="139"/>
      <c r="M513" s="133"/>
    </row>
    <row r="514" spans="1:13" ht="15.5" x14ac:dyDescent="0.35">
      <c r="A514" s="2"/>
      <c r="B514" s="147"/>
      <c r="C514" s="133"/>
      <c r="F514" s="133"/>
      <c r="I514" s="154"/>
      <c r="L514" s="139"/>
      <c r="M514" s="133"/>
    </row>
    <row r="515" spans="1:13" ht="15.5" x14ac:dyDescent="0.35">
      <c r="A515" s="2"/>
      <c r="B515" s="147"/>
      <c r="C515" s="133"/>
      <c r="F515" s="133"/>
      <c r="I515" s="154"/>
      <c r="L515" s="139"/>
      <c r="M515" s="133"/>
    </row>
    <row r="516" spans="1:13" ht="15.5" x14ac:dyDescent="0.35">
      <c r="A516" s="2"/>
      <c r="B516" s="147"/>
      <c r="C516" s="133"/>
      <c r="F516" s="133"/>
      <c r="I516" s="154"/>
      <c r="L516" s="139"/>
      <c r="M516" s="133"/>
    </row>
    <row r="517" spans="1:13" ht="15.5" x14ac:dyDescent="0.35">
      <c r="A517" s="2"/>
      <c r="B517" s="147"/>
      <c r="C517" s="133"/>
      <c r="F517" s="133"/>
      <c r="I517" s="154"/>
      <c r="L517" s="139"/>
      <c r="M517" s="133"/>
    </row>
    <row r="518" spans="1:13" ht="15.5" x14ac:dyDescent="0.35">
      <c r="A518" s="2"/>
      <c r="B518" s="147"/>
      <c r="C518" s="133"/>
      <c r="F518" s="133"/>
      <c r="I518" s="154"/>
      <c r="L518" s="139"/>
      <c r="M518" s="133"/>
    </row>
    <row r="519" spans="1:13" ht="15.5" x14ac:dyDescent="0.35">
      <c r="A519" s="2"/>
      <c r="B519" s="147"/>
      <c r="C519" s="133"/>
      <c r="F519" s="133"/>
      <c r="I519" s="154"/>
      <c r="L519" s="139"/>
      <c r="M519" s="133"/>
    </row>
    <row r="520" spans="1:13" ht="15.5" x14ac:dyDescent="0.35">
      <c r="A520" s="2"/>
      <c r="B520" s="147"/>
      <c r="C520" s="133"/>
      <c r="F520" s="133"/>
      <c r="I520" s="154"/>
      <c r="L520" s="139"/>
      <c r="M520" s="133"/>
    </row>
    <row r="521" spans="1:13" ht="15.5" x14ac:dyDescent="0.35">
      <c r="A521" s="2"/>
      <c r="B521" s="147"/>
      <c r="C521" s="133"/>
      <c r="F521" s="133"/>
      <c r="I521" s="154"/>
      <c r="L521" s="139"/>
      <c r="M521" s="133"/>
    </row>
    <row r="522" spans="1:13" ht="15.5" x14ac:dyDescent="0.35">
      <c r="A522" s="2"/>
      <c r="B522" s="147"/>
      <c r="C522" s="133"/>
      <c r="F522" s="133"/>
      <c r="I522" s="154"/>
      <c r="L522" s="139"/>
      <c r="M522" s="133"/>
    </row>
    <row r="523" spans="1:13" ht="15.5" x14ac:dyDescent="0.35">
      <c r="A523" s="2"/>
      <c r="B523" s="147"/>
      <c r="C523" s="133"/>
      <c r="F523" s="133"/>
      <c r="I523" s="154"/>
      <c r="L523" s="139"/>
      <c r="M523" s="133"/>
    </row>
    <row r="524" spans="1:13" ht="15.5" x14ac:dyDescent="0.35">
      <c r="A524" s="2"/>
      <c r="B524" s="147"/>
      <c r="C524" s="133"/>
      <c r="F524" s="133"/>
      <c r="I524" s="154"/>
      <c r="L524" s="139"/>
      <c r="M524" s="133"/>
    </row>
    <row r="525" spans="1:13" ht="15.5" x14ac:dyDescent="0.35">
      <c r="A525" s="2"/>
      <c r="B525" s="147"/>
      <c r="C525" s="133"/>
      <c r="F525" s="133"/>
      <c r="I525" s="154"/>
      <c r="L525" s="139"/>
      <c r="M525" s="133"/>
    </row>
    <row r="526" spans="1:13" ht="15.5" x14ac:dyDescent="0.35">
      <c r="A526" s="2"/>
      <c r="B526" s="147"/>
      <c r="C526" s="133"/>
      <c r="F526" s="133"/>
      <c r="I526" s="154"/>
      <c r="L526" s="139"/>
      <c r="M526" s="133"/>
    </row>
    <row r="527" spans="1:13" ht="15.5" x14ac:dyDescent="0.35">
      <c r="A527" s="2"/>
      <c r="B527" s="147"/>
      <c r="C527" s="133"/>
      <c r="F527" s="133"/>
      <c r="I527" s="154"/>
      <c r="L527" s="139"/>
      <c r="M527" s="133"/>
    </row>
    <row r="528" spans="1:13" ht="15.5" x14ac:dyDescent="0.35">
      <c r="A528" s="2"/>
      <c r="B528" s="147"/>
      <c r="C528" s="133"/>
      <c r="F528" s="133"/>
      <c r="I528" s="154"/>
      <c r="L528" s="139"/>
      <c r="M528" s="133"/>
    </row>
    <row r="529" spans="1:13" ht="15.5" x14ac:dyDescent="0.35">
      <c r="A529" s="2"/>
      <c r="B529" s="147"/>
      <c r="C529" s="133"/>
      <c r="F529" s="133"/>
      <c r="I529" s="154"/>
      <c r="L529" s="139"/>
      <c r="M529" s="133"/>
    </row>
    <row r="530" spans="1:13" ht="15.5" x14ac:dyDescent="0.35">
      <c r="A530" s="2"/>
      <c r="B530" s="147"/>
      <c r="C530" s="133"/>
      <c r="F530" s="133"/>
      <c r="I530" s="154"/>
      <c r="L530" s="139"/>
      <c r="M530" s="133"/>
    </row>
    <row r="531" spans="1:13" ht="15.5" x14ac:dyDescent="0.35">
      <c r="A531" s="2"/>
      <c r="B531" s="147"/>
      <c r="C531" s="133"/>
      <c r="F531" s="133"/>
      <c r="I531" s="154"/>
      <c r="L531" s="139"/>
      <c r="M531" s="133"/>
    </row>
    <row r="532" spans="1:13" ht="15.5" x14ac:dyDescent="0.35">
      <c r="A532" s="2"/>
      <c r="B532" s="147"/>
      <c r="C532" s="133"/>
      <c r="F532" s="133"/>
      <c r="I532" s="154"/>
      <c r="L532" s="139"/>
      <c r="M532" s="133"/>
    </row>
    <row r="533" spans="1:13" ht="15.5" x14ac:dyDescent="0.35">
      <c r="A533" s="2"/>
      <c r="B533" s="147"/>
      <c r="C533" s="133"/>
      <c r="F533" s="133"/>
      <c r="I533" s="154"/>
      <c r="L533" s="139"/>
      <c r="M533" s="133"/>
    </row>
    <row r="534" spans="1:13" ht="15.5" x14ac:dyDescent="0.35">
      <c r="A534" s="2"/>
      <c r="B534" s="147"/>
      <c r="C534" s="133"/>
      <c r="F534" s="133"/>
      <c r="I534" s="154"/>
      <c r="L534" s="139"/>
      <c r="M534" s="133"/>
    </row>
    <row r="535" spans="1:13" ht="15.5" x14ac:dyDescent="0.35">
      <c r="A535" s="2"/>
      <c r="B535" s="147"/>
      <c r="C535" s="133"/>
      <c r="F535" s="133"/>
      <c r="I535" s="154"/>
      <c r="L535" s="139"/>
      <c r="M535" s="133"/>
    </row>
    <row r="536" spans="1:13" ht="15.5" x14ac:dyDescent="0.35">
      <c r="A536" s="2"/>
      <c r="B536" s="147"/>
      <c r="C536" s="133"/>
      <c r="F536" s="133"/>
      <c r="I536" s="154"/>
      <c r="L536" s="139"/>
      <c r="M536" s="133"/>
    </row>
    <row r="537" spans="1:13" ht="15.5" x14ac:dyDescent="0.35">
      <c r="A537" s="2"/>
      <c r="B537" s="147"/>
      <c r="C537" s="133"/>
      <c r="F537" s="133"/>
      <c r="I537" s="154"/>
      <c r="L537" s="139"/>
      <c r="M537" s="133"/>
    </row>
    <row r="538" spans="1:13" ht="15.5" x14ac:dyDescent="0.35">
      <c r="A538" s="2"/>
      <c r="B538" s="147"/>
      <c r="C538" s="133"/>
      <c r="F538" s="133"/>
      <c r="I538" s="154"/>
      <c r="L538" s="139"/>
      <c r="M538" s="133"/>
    </row>
    <row r="539" spans="1:13" ht="15.5" x14ac:dyDescent="0.35">
      <c r="A539" s="2"/>
      <c r="B539" s="147"/>
      <c r="C539" s="133"/>
      <c r="F539" s="133"/>
      <c r="I539" s="154"/>
      <c r="L539" s="139"/>
      <c r="M539" s="133"/>
    </row>
    <row r="540" spans="1:13" ht="15.5" x14ac:dyDescent="0.35">
      <c r="A540" s="2"/>
      <c r="B540" s="147"/>
      <c r="C540" s="133"/>
      <c r="F540" s="133"/>
      <c r="I540" s="154"/>
      <c r="L540" s="139"/>
      <c r="M540" s="133"/>
    </row>
    <row r="541" spans="1:13" ht="15.5" x14ac:dyDescent="0.35">
      <c r="A541" s="2"/>
      <c r="B541" s="147"/>
      <c r="C541" s="133"/>
      <c r="F541" s="133"/>
      <c r="I541" s="154"/>
      <c r="L541" s="139"/>
      <c r="M541" s="133"/>
    </row>
    <row r="542" spans="1:13" ht="15.5" x14ac:dyDescent="0.35">
      <c r="A542" s="2"/>
      <c r="B542" s="147"/>
      <c r="C542" s="133"/>
      <c r="F542" s="133"/>
      <c r="I542" s="154"/>
      <c r="L542" s="139"/>
      <c r="M542" s="133"/>
    </row>
    <row r="543" spans="1:13" ht="15.5" x14ac:dyDescent="0.35">
      <c r="A543" s="2"/>
      <c r="B543" s="147"/>
      <c r="C543" s="133"/>
      <c r="F543" s="133"/>
      <c r="I543" s="154"/>
      <c r="L543" s="139"/>
      <c r="M543" s="133"/>
    </row>
    <row r="544" spans="1:13" ht="15.5" x14ac:dyDescent="0.35">
      <c r="A544" s="2"/>
      <c r="B544" s="147"/>
      <c r="C544" s="133"/>
      <c r="F544" s="133"/>
      <c r="I544" s="154"/>
      <c r="L544" s="139"/>
      <c r="M544" s="133"/>
    </row>
    <row r="545" spans="1:13" ht="15.5" x14ac:dyDescent="0.35">
      <c r="A545" s="2"/>
      <c r="B545" s="147"/>
      <c r="C545" s="133"/>
      <c r="F545" s="133"/>
      <c r="I545" s="154"/>
      <c r="L545" s="139"/>
      <c r="M545" s="133"/>
    </row>
    <row r="546" spans="1:13" ht="15.5" x14ac:dyDescent="0.35">
      <c r="A546" s="2"/>
      <c r="B546" s="147"/>
      <c r="C546" s="133"/>
      <c r="F546" s="133"/>
      <c r="I546" s="154"/>
      <c r="L546" s="139"/>
      <c r="M546" s="133"/>
    </row>
    <row r="547" spans="1:13" ht="15.5" x14ac:dyDescent="0.35">
      <c r="A547" s="2"/>
      <c r="B547" s="147"/>
      <c r="C547" s="133"/>
      <c r="F547" s="133"/>
      <c r="I547" s="154"/>
      <c r="L547" s="139"/>
      <c r="M547" s="133"/>
    </row>
    <row r="548" spans="1:13" ht="15.5" x14ac:dyDescent="0.35">
      <c r="A548" s="2"/>
      <c r="B548" s="147"/>
      <c r="C548" s="133"/>
      <c r="F548" s="133"/>
      <c r="I548" s="154"/>
      <c r="L548" s="139"/>
      <c r="M548" s="133"/>
    </row>
    <row r="549" spans="1:13" ht="15.5" x14ac:dyDescent="0.35">
      <c r="A549" s="2"/>
      <c r="B549" s="147"/>
      <c r="C549" s="133"/>
      <c r="F549" s="133"/>
      <c r="I549" s="154"/>
      <c r="L549" s="139"/>
      <c r="M549" s="133"/>
    </row>
    <row r="550" spans="1:13" ht="15.5" x14ac:dyDescent="0.35">
      <c r="A550" s="2"/>
      <c r="B550" s="147"/>
      <c r="C550" s="133"/>
      <c r="F550" s="133"/>
      <c r="I550" s="154"/>
      <c r="L550" s="139"/>
      <c r="M550" s="133"/>
    </row>
    <row r="551" spans="1:13" ht="15.5" x14ac:dyDescent="0.35">
      <c r="A551" s="2"/>
      <c r="B551" s="147"/>
      <c r="C551" s="133"/>
      <c r="F551" s="133"/>
      <c r="I551" s="154"/>
      <c r="L551" s="139"/>
      <c r="M551" s="133"/>
    </row>
    <row r="552" spans="1:13" ht="15.5" x14ac:dyDescent="0.35">
      <c r="A552" s="2"/>
      <c r="B552" s="147"/>
      <c r="C552" s="133"/>
      <c r="F552" s="133"/>
      <c r="I552" s="154"/>
      <c r="L552" s="139"/>
      <c r="M552" s="133"/>
    </row>
    <row r="553" spans="1:13" ht="15.5" x14ac:dyDescent="0.35">
      <c r="A553" s="2"/>
      <c r="B553" s="147"/>
      <c r="C553" s="133"/>
      <c r="F553" s="133"/>
      <c r="I553" s="154"/>
      <c r="L553" s="139"/>
      <c r="M553" s="133"/>
    </row>
    <row r="554" spans="1:13" ht="15.5" x14ac:dyDescent="0.35">
      <c r="A554" s="2"/>
      <c r="B554" s="147"/>
      <c r="C554" s="133"/>
      <c r="F554" s="133"/>
      <c r="I554" s="154"/>
      <c r="L554" s="139"/>
      <c r="M554" s="133"/>
    </row>
    <row r="555" spans="1:13" ht="15.5" x14ac:dyDescent="0.35">
      <c r="A555" s="2"/>
      <c r="B555" s="147"/>
      <c r="C555" s="133"/>
      <c r="F555" s="133"/>
      <c r="I555" s="154"/>
      <c r="L555" s="139"/>
      <c r="M555" s="133"/>
    </row>
    <row r="556" spans="1:13" ht="15.5" x14ac:dyDescent="0.35">
      <c r="A556" s="2"/>
      <c r="B556" s="147"/>
      <c r="C556" s="133"/>
      <c r="F556" s="133"/>
      <c r="I556" s="154"/>
      <c r="L556" s="139"/>
      <c r="M556" s="133"/>
    </row>
    <row r="557" spans="1:13" ht="15.5" x14ac:dyDescent="0.35">
      <c r="A557" s="2"/>
      <c r="B557" s="147"/>
      <c r="C557" s="133"/>
      <c r="F557" s="133"/>
      <c r="I557" s="154"/>
      <c r="L557" s="139"/>
      <c r="M557" s="133"/>
    </row>
    <row r="558" spans="1:13" ht="15.5" x14ac:dyDescent="0.35">
      <c r="A558" s="2"/>
      <c r="B558" s="147"/>
      <c r="C558" s="133"/>
      <c r="F558" s="133"/>
      <c r="I558" s="154"/>
      <c r="L558" s="139"/>
      <c r="M558" s="133"/>
    </row>
    <row r="559" spans="1:13" ht="15.5" x14ac:dyDescent="0.35">
      <c r="A559" s="2"/>
      <c r="B559" s="147"/>
      <c r="C559" s="133"/>
      <c r="F559" s="133"/>
      <c r="I559" s="154"/>
      <c r="L559" s="139"/>
      <c r="M559" s="133"/>
    </row>
    <row r="560" spans="1:13" ht="15.5" x14ac:dyDescent="0.35">
      <c r="A560" s="2"/>
      <c r="B560" s="147"/>
      <c r="C560" s="133"/>
      <c r="F560" s="133"/>
      <c r="I560" s="154"/>
      <c r="L560" s="139"/>
      <c r="M560" s="133"/>
    </row>
    <row r="561" spans="1:13" ht="15.5" x14ac:dyDescent="0.35">
      <c r="A561" s="2"/>
      <c r="B561" s="147"/>
      <c r="C561" s="133"/>
      <c r="F561" s="133"/>
      <c r="I561" s="154"/>
      <c r="L561" s="139"/>
      <c r="M561" s="133"/>
    </row>
    <row r="562" spans="1:13" ht="15.5" x14ac:dyDescent="0.35">
      <c r="A562" s="2"/>
      <c r="B562" s="147"/>
      <c r="C562" s="133"/>
      <c r="F562" s="133"/>
      <c r="I562" s="154"/>
      <c r="L562" s="139"/>
      <c r="M562" s="133"/>
    </row>
    <row r="563" spans="1:13" ht="15.5" x14ac:dyDescent="0.35">
      <c r="A563" s="2"/>
      <c r="B563" s="147"/>
      <c r="C563" s="133"/>
      <c r="F563" s="133"/>
      <c r="I563" s="154"/>
      <c r="L563" s="139"/>
      <c r="M563" s="133"/>
    </row>
    <row r="564" spans="1:13" ht="15.5" x14ac:dyDescent="0.35">
      <c r="A564" s="2"/>
      <c r="B564" s="147"/>
      <c r="C564" s="133"/>
      <c r="F564" s="133"/>
      <c r="I564" s="154"/>
      <c r="L564" s="139"/>
      <c r="M564" s="133"/>
    </row>
    <row r="565" spans="1:13" ht="15.5" x14ac:dyDescent="0.35">
      <c r="A565" s="2"/>
      <c r="B565" s="147"/>
      <c r="C565" s="133"/>
      <c r="F565" s="133"/>
      <c r="I565" s="154"/>
      <c r="L565" s="139"/>
      <c r="M565" s="133"/>
    </row>
    <row r="566" spans="1:13" ht="15.5" x14ac:dyDescent="0.35">
      <c r="A566" s="2"/>
      <c r="B566" s="147"/>
      <c r="C566" s="133"/>
      <c r="F566" s="133"/>
      <c r="I566" s="154"/>
      <c r="L566" s="139"/>
      <c r="M566" s="133"/>
    </row>
    <row r="567" spans="1:13" ht="15.5" x14ac:dyDescent="0.35">
      <c r="A567" s="2"/>
      <c r="B567" s="147"/>
      <c r="C567" s="133"/>
      <c r="F567" s="133"/>
      <c r="I567" s="154"/>
      <c r="L567" s="139"/>
      <c r="M567" s="133"/>
    </row>
    <row r="568" spans="1:13" ht="15.5" x14ac:dyDescent="0.35">
      <c r="A568" s="2"/>
      <c r="B568" s="147"/>
      <c r="C568" s="133"/>
      <c r="F568" s="133"/>
      <c r="I568" s="154"/>
      <c r="L568" s="139"/>
      <c r="M568" s="133"/>
    </row>
    <row r="569" spans="1:13" ht="15.5" x14ac:dyDescent="0.35">
      <c r="A569" s="2"/>
      <c r="B569" s="147"/>
      <c r="C569" s="133"/>
      <c r="F569" s="133"/>
      <c r="I569" s="154"/>
      <c r="L569" s="139"/>
      <c r="M569" s="133"/>
    </row>
    <row r="570" spans="1:13" ht="15.5" x14ac:dyDescent="0.35">
      <c r="A570" s="2"/>
      <c r="B570" s="147"/>
      <c r="C570" s="133"/>
      <c r="F570" s="133"/>
      <c r="I570" s="154"/>
      <c r="L570" s="139"/>
      <c r="M570" s="133"/>
    </row>
    <row r="571" spans="1:13" ht="15.5" x14ac:dyDescent="0.35">
      <c r="A571" s="2"/>
      <c r="B571" s="147"/>
      <c r="C571" s="133"/>
      <c r="F571" s="133"/>
      <c r="I571" s="154"/>
      <c r="L571" s="139"/>
      <c r="M571" s="133"/>
    </row>
    <row r="572" spans="1:13" ht="15.5" x14ac:dyDescent="0.35">
      <c r="A572" s="2"/>
      <c r="B572" s="147"/>
      <c r="C572" s="32"/>
      <c r="F572" s="133"/>
      <c r="I572" s="154"/>
      <c r="L572" s="139"/>
      <c r="M572" s="133"/>
    </row>
    <row r="573" spans="1:13" ht="15.5" x14ac:dyDescent="0.35">
      <c r="A573" s="2"/>
      <c r="B573" s="147"/>
      <c r="C573" s="32"/>
      <c r="F573" s="133"/>
      <c r="I573" s="154"/>
      <c r="L573" s="139"/>
      <c r="M573" s="133"/>
    </row>
    <row r="574" spans="1:13" ht="15.5" x14ac:dyDescent="0.35">
      <c r="A574" s="2"/>
      <c r="B574" s="147"/>
      <c r="C574" s="32"/>
      <c r="F574" s="133"/>
      <c r="I574" s="154"/>
      <c r="L574" s="139"/>
      <c r="M574" s="133"/>
    </row>
    <row r="575" spans="1:13" ht="15.5" x14ac:dyDescent="0.35">
      <c r="A575" s="2"/>
      <c r="B575" s="147"/>
      <c r="C575" s="32"/>
      <c r="F575" s="133"/>
      <c r="I575" s="154"/>
      <c r="L575" s="139"/>
      <c r="M575" s="133"/>
    </row>
    <row r="576" spans="1:13" ht="15.5" x14ac:dyDescent="0.35">
      <c r="A576" s="2"/>
      <c r="B576" s="147"/>
      <c r="C576" s="32"/>
      <c r="F576" s="133"/>
      <c r="I576" s="154"/>
      <c r="L576" s="139"/>
      <c r="M576" s="133"/>
    </row>
    <row r="577" spans="1:13" ht="15.5" x14ac:dyDescent="0.35">
      <c r="A577" s="2"/>
      <c r="B577" s="147"/>
      <c r="C577" s="32"/>
      <c r="F577" s="133"/>
      <c r="I577" s="154"/>
      <c r="L577" s="139"/>
      <c r="M577" s="133"/>
    </row>
    <row r="578" spans="1:13" ht="15.5" x14ac:dyDescent="0.35">
      <c r="A578" s="2"/>
      <c r="B578" s="147"/>
      <c r="C578" s="32"/>
      <c r="F578" s="133"/>
      <c r="I578" s="154"/>
      <c r="L578" s="139"/>
      <c r="M578" s="133"/>
    </row>
    <row r="579" spans="1:13" ht="15.5" x14ac:dyDescent="0.35">
      <c r="A579" s="2"/>
      <c r="B579" s="147"/>
      <c r="C579" s="32"/>
      <c r="F579" s="133"/>
      <c r="I579" s="154"/>
      <c r="L579" s="139"/>
      <c r="M579" s="133"/>
    </row>
    <row r="580" spans="1:13" ht="15.5" x14ac:dyDescent="0.35">
      <c r="A580" s="2"/>
      <c r="B580" s="147"/>
      <c r="C580" s="32"/>
      <c r="F580" s="133"/>
      <c r="I580" s="154"/>
      <c r="L580" s="139"/>
      <c r="M580" s="133"/>
    </row>
    <row r="581" spans="1:13" ht="15.5" x14ac:dyDescent="0.35">
      <c r="A581" s="2"/>
      <c r="B581" s="147"/>
      <c r="C581" s="32"/>
      <c r="F581" s="133"/>
      <c r="I581" s="154"/>
      <c r="L581" s="139"/>
      <c r="M581" s="133"/>
    </row>
    <row r="582" spans="1:13" ht="15.5" x14ac:dyDescent="0.35">
      <c r="A582" s="2"/>
      <c r="B582" s="147"/>
      <c r="C582" s="32"/>
      <c r="F582" s="133"/>
      <c r="I582" s="154"/>
      <c r="L582" s="139"/>
      <c r="M582" s="133"/>
    </row>
    <row r="583" spans="1:13" ht="15.5" x14ac:dyDescent="0.35">
      <c r="A583" s="2"/>
      <c r="B583" s="147"/>
      <c r="C583" s="32"/>
      <c r="F583" s="133"/>
      <c r="I583" s="154"/>
      <c r="L583" s="139"/>
      <c r="M583" s="133"/>
    </row>
    <row r="584" spans="1:13" ht="15.5" x14ac:dyDescent="0.35">
      <c r="A584" s="2"/>
      <c r="B584" s="147"/>
      <c r="C584" s="32"/>
      <c r="F584" s="133"/>
      <c r="I584" s="154"/>
      <c r="L584" s="139"/>
      <c r="M584" s="133"/>
    </row>
    <row r="585" spans="1:13" ht="15.5" x14ac:dyDescent="0.35">
      <c r="A585" s="2"/>
      <c r="B585" s="147"/>
      <c r="C585" s="32"/>
      <c r="F585" s="133"/>
      <c r="I585" s="154"/>
      <c r="L585" s="139"/>
      <c r="M585" s="133"/>
    </row>
    <row r="586" spans="1:13" ht="15.5" x14ac:dyDescent="0.35">
      <c r="A586" s="2"/>
      <c r="B586" s="147"/>
      <c r="C586" s="32"/>
      <c r="F586" s="133"/>
      <c r="I586" s="154"/>
      <c r="L586" s="139"/>
      <c r="M586" s="133"/>
    </row>
    <row r="587" spans="1:13" ht="15.5" x14ac:dyDescent="0.35">
      <c r="A587" s="2"/>
      <c r="B587" s="147"/>
      <c r="C587" s="32"/>
      <c r="F587" s="133"/>
      <c r="I587" s="154"/>
      <c r="L587" s="139"/>
      <c r="M587" s="133"/>
    </row>
    <row r="588" spans="1:13" ht="15.5" x14ac:dyDescent="0.35">
      <c r="A588" s="2"/>
      <c r="B588" s="147"/>
      <c r="C588" s="32"/>
      <c r="F588" s="133"/>
      <c r="I588" s="154"/>
      <c r="L588" s="139"/>
      <c r="M588" s="133"/>
    </row>
    <row r="589" spans="1:13" ht="15.5" x14ac:dyDescent="0.35">
      <c r="A589" s="2"/>
      <c r="B589" s="147"/>
      <c r="C589" s="32"/>
      <c r="F589" s="133"/>
      <c r="I589" s="154"/>
      <c r="L589" s="139"/>
      <c r="M589" s="133"/>
    </row>
    <row r="590" spans="1:13" ht="15.5" x14ac:dyDescent="0.35">
      <c r="A590" s="2"/>
      <c r="B590" s="147"/>
      <c r="C590" s="32"/>
      <c r="F590" s="133"/>
      <c r="I590" s="154"/>
      <c r="L590" s="139"/>
      <c r="M590" s="133"/>
    </row>
    <row r="591" spans="1:13" ht="15.5" x14ac:dyDescent="0.35">
      <c r="A591" s="2"/>
      <c r="B591" s="147"/>
      <c r="C591" s="32"/>
      <c r="F591" s="133"/>
      <c r="I591" s="154"/>
      <c r="L591" s="139"/>
      <c r="M591" s="133"/>
    </row>
    <row r="592" spans="1:13" ht="15.5" x14ac:dyDescent="0.35">
      <c r="A592" s="2"/>
      <c r="B592" s="147"/>
      <c r="C592" s="32"/>
      <c r="F592" s="133"/>
      <c r="I592" s="154"/>
      <c r="L592" s="139"/>
      <c r="M592" s="133"/>
    </row>
    <row r="593" spans="1:13" ht="15.5" x14ac:dyDescent="0.35">
      <c r="A593" s="2"/>
      <c r="B593" s="147"/>
      <c r="C593" s="32"/>
      <c r="F593" s="133"/>
      <c r="I593" s="154"/>
      <c r="L593" s="139"/>
      <c r="M593" s="133"/>
    </row>
    <row r="594" spans="1:13" ht="15.5" x14ac:dyDescent="0.35">
      <c r="A594" s="2"/>
      <c r="B594" s="147"/>
      <c r="C594" s="32"/>
      <c r="F594" s="133"/>
      <c r="I594" s="154"/>
      <c r="L594" s="139"/>
      <c r="M594" s="133"/>
    </row>
    <row r="595" spans="1:13" ht="15.5" x14ac:dyDescent="0.35">
      <c r="A595" s="2"/>
      <c r="B595" s="147"/>
      <c r="C595" s="32"/>
      <c r="F595" s="133"/>
      <c r="I595" s="154"/>
      <c r="L595" s="139"/>
      <c r="M595" s="133"/>
    </row>
    <row r="596" spans="1:13" ht="15.5" x14ac:dyDescent="0.35">
      <c r="A596" s="2"/>
      <c r="B596" s="147"/>
      <c r="C596" s="32"/>
      <c r="F596" s="133"/>
      <c r="I596" s="154"/>
      <c r="L596" s="139"/>
      <c r="M596" s="133"/>
    </row>
    <row r="597" spans="1:13" ht="15.5" x14ac:dyDescent="0.35">
      <c r="A597" s="2"/>
      <c r="B597" s="147"/>
      <c r="C597" s="32"/>
      <c r="F597" s="133"/>
      <c r="I597" s="154"/>
      <c r="L597" s="139"/>
      <c r="M597" s="133"/>
    </row>
    <row r="598" spans="1:13" ht="15.5" x14ac:dyDescent="0.35">
      <c r="A598" s="2"/>
      <c r="B598" s="147"/>
      <c r="C598" s="32"/>
      <c r="F598" s="133"/>
      <c r="I598" s="154"/>
      <c r="L598" s="139"/>
      <c r="M598" s="133"/>
    </row>
    <row r="599" spans="1:13" ht="15.5" x14ac:dyDescent="0.35">
      <c r="A599" s="2"/>
      <c r="B599" s="147"/>
      <c r="C599" s="32"/>
      <c r="F599" s="133"/>
      <c r="I599" s="154"/>
      <c r="L599" s="139"/>
      <c r="M599" s="133"/>
    </row>
    <row r="600" spans="1:13" ht="15.5" x14ac:dyDescent="0.35">
      <c r="A600" s="2"/>
      <c r="B600" s="147"/>
      <c r="C600" s="32"/>
      <c r="F600" s="133"/>
      <c r="I600" s="154"/>
      <c r="L600" s="139"/>
      <c r="M600" s="133"/>
    </row>
    <row r="601" spans="1:13" ht="15.5" x14ac:dyDescent="0.35">
      <c r="A601" s="2"/>
      <c r="B601" s="147"/>
      <c r="C601" s="32"/>
      <c r="F601" s="133"/>
      <c r="I601" s="154"/>
      <c r="L601" s="139"/>
      <c r="M601" s="133"/>
    </row>
    <row r="602" spans="1:13" ht="15.5" x14ac:dyDescent="0.35">
      <c r="A602" s="2"/>
      <c r="B602" s="147"/>
      <c r="C602" s="32"/>
      <c r="F602" s="133"/>
      <c r="I602" s="154"/>
      <c r="L602" s="139"/>
      <c r="M602" s="133"/>
    </row>
    <row r="603" spans="1:13" ht="15.5" x14ac:dyDescent="0.35">
      <c r="A603" s="2"/>
      <c r="B603" s="147"/>
      <c r="C603" s="32"/>
      <c r="F603" s="133"/>
      <c r="I603" s="154"/>
      <c r="L603" s="139"/>
      <c r="M603" s="133"/>
    </row>
    <row r="604" spans="1:13" ht="15.5" x14ac:dyDescent="0.35">
      <c r="A604" s="2"/>
      <c r="B604" s="147"/>
      <c r="C604" s="32"/>
      <c r="F604" s="133"/>
      <c r="I604" s="154"/>
      <c r="L604" s="139"/>
      <c r="M604" s="133"/>
    </row>
    <row r="605" spans="1:13" ht="15.5" x14ac:dyDescent="0.35">
      <c r="A605" s="2"/>
      <c r="B605" s="147"/>
      <c r="C605" s="32"/>
      <c r="F605" s="133"/>
      <c r="I605" s="154"/>
      <c r="L605" s="139"/>
      <c r="M605" s="133"/>
    </row>
    <row r="606" spans="1:13" ht="15.5" x14ac:dyDescent="0.35">
      <c r="A606" s="2"/>
      <c r="B606" s="147"/>
      <c r="C606" s="32"/>
      <c r="F606" s="133"/>
      <c r="I606" s="154"/>
      <c r="L606" s="139"/>
      <c r="M606" s="133"/>
    </row>
    <row r="607" spans="1:13" ht="15.5" x14ac:dyDescent="0.35">
      <c r="A607" s="2"/>
      <c r="B607" s="147"/>
      <c r="C607" s="32"/>
      <c r="F607" s="133"/>
      <c r="I607" s="154"/>
      <c r="L607" s="139"/>
      <c r="M607" s="133"/>
    </row>
    <row r="608" spans="1:13" ht="15.5" x14ac:dyDescent="0.35">
      <c r="A608" s="2"/>
      <c r="B608" s="147"/>
      <c r="C608" s="32"/>
      <c r="F608" s="133"/>
      <c r="I608" s="154"/>
      <c r="L608" s="139"/>
      <c r="M608" s="133"/>
    </row>
    <row r="609" spans="1:13" ht="15.5" x14ac:dyDescent="0.35">
      <c r="A609" s="2"/>
      <c r="B609" s="147"/>
      <c r="C609" s="32"/>
      <c r="F609" s="133"/>
      <c r="I609" s="154"/>
      <c r="L609" s="139"/>
      <c r="M609" s="133"/>
    </row>
    <row r="610" spans="1:13" ht="15.5" x14ac:dyDescent="0.35">
      <c r="A610" s="2"/>
      <c r="B610" s="147"/>
      <c r="C610" s="32"/>
      <c r="F610" s="133"/>
      <c r="I610" s="154"/>
      <c r="L610" s="139"/>
      <c r="M610" s="133"/>
    </row>
    <row r="611" spans="1:13" ht="15.5" x14ac:dyDescent="0.35">
      <c r="A611" s="2"/>
      <c r="B611" s="147"/>
      <c r="C611" s="32"/>
      <c r="F611" s="133"/>
      <c r="I611" s="154"/>
      <c r="L611" s="139"/>
      <c r="M611" s="133"/>
    </row>
    <row r="612" spans="1:13" ht="15.5" x14ac:dyDescent="0.35">
      <c r="A612" s="2"/>
      <c r="B612" s="147"/>
      <c r="C612" s="32"/>
      <c r="F612" s="133"/>
      <c r="I612" s="154"/>
      <c r="L612" s="139"/>
      <c r="M612" s="133"/>
    </row>
    <row r="613" spans="1:13" ht="15.5" x14ac:dyDescent="0.35">
      <c r="A613" s="2"/>
      <c r="B613" s="147"/>
      <c r="C613" s="32"/>
      <c r="F613" s="133"/>
      <c r="I613" s="154"/>
      <c r="L613" s="139"/>
      <c r="M613" s="133"/>
    </row>
    <row r="614" spans="1:13" ht="15.5" x14ac:dyDescent="0.35">
      <c r="A614" s="2"/>
      <c r="B614" s="147"/>
      <c r="C614" s="32"/>
      <c r="F614" s="133"/>
      <c r="I614" s="154"/>
      <c r="L614" s="139"/>
      <c r="M614" s="133"/>
    </row>
    <row r="615" spans="1:13" ht="15.5" x14ac:dyDescent="0.35">
      <c r="A615" s="2"/>
      <c r="B615" s="147"/>
      <c r="C615" s="32"/>
      <c r="F615" s="133"/>
      <c r="I615" s="154"/>
      <c r="L615" s="139"/>
      <c r="M615" s="133"/>
    </row>
    <row r="616" spans="1:13" ht="15.5" x14ac:dyDescent="0.35">
      <c r="A616" s="2"/>
      <c r="B616" s="147"/>
      <c r="C616" s="32"/>
      <c r="F616" s="133"/>
      <c r="I616" s="154"/>
      <c r="L616" s="139"/>
      <c r="M616" s="133"/>
    </row>
    <row r="617" spans="1:13" ht="15.5" x14ac:dyDescent="0.35">
      <c r="A617" s="2"/>
      <c r="B617" s="147"/>
      <c r="C617" s="32"/>
      <c r="F617" s="133"/>
      <c r="I617" s="154"/>
      <c r="L617" s="139"/>
      <c r="M617" s="133"/>
    </row>
    <row r="618" spans="1:13" ht="15.5" x14ac:dyDescent="0.35">
      <c r="A618" s="2"/>
      <c r="B618" s="147"/>
      <c r="C618" s="32"/>
      <c r="F618" s="133"/>
      <c r="I618" s="154"/>
      <c r="L618" s="139"/>
      <c r="M618" s="133"/>
    </row>
    <row r="619" spans="1:13" ht="15.5" x14ac:dyDescent="0.35">
      <c r="A619" s="2"/>
      <c r="B619" s="147"/>
      <c r="C619" s="32"/>
      <c r="F619" s="133"/>
      <c r="I619" s="154"/>
      <c r="L619" s="139"/>
      <c r="M619" s="133"/>
    </row>
    <row r="620" spans="1:13" ht="15.5" x14ac:dyDescent="0.35">
      <c r="A620" s="2"/>
      <c r="B620" s="147"/>
      <c r="C620" s="32"/>
      <c r="F620" s="133"/>
      <c r="I620" s="154"/>
      <c r="L620" s="139"/>
      <c r="M620" s="133"/>
    </row>
    <row r="621" spans="1:13" ht="15.5" x14ac:dyDescent="0.35">
      <c r="A621" s="2"/>
      <c r="B621" s="147"/>
      <c r="C621" s="32"/>
      <c r="F621" s="133"/>
      <c r="I621" s="154"/>
      <c r="L621" s="139"/>
      <c r="M621" s="133"/>
    </row>
    <row r="622" spans="1:13" ht="15.5" x14ac:dyDescent="0.35">
      <c r="A622" s="2"/>
      <c r="B622" s="147"/>
      <c r="C622" s="32"/>
      <c r="F622" s="133"/>
      <c r="I622" s="154"/>
      <c r="L622" s="139"/>
      <c r="M622" s="133"/>
    </row>
    <row r="623" spans="1:13" ht="15.5" x14ac:dyDescent="0.35">
      <c r="A623" s="2"/>
      <c r="B623" s="147"/>
      <c r="C623" s="32"/>
      <c r="F623" s="133"/>
      <c r="I623" s="154"/>
      <c r="L623" s="139"/>
      <c r="M623" s="133"/>
    </row>
    <row r="624" spans="1:13" ht="15.5" x14ac:dyDescent="0.35">
      <c r="A624" s="2"/>
      <c r="B624" s="147"/>
      <c r="C624" s="32"/>
      <c r="F624" s="133"/>
      <c r="I624" s="154"/>
      <c r="L624" s="139"/>
      <c r="M624" s="133"/>
    </row>
    <row r="625" spans="1:13" ht="15.5" x14ac:dyDescent="0.35">
      <c r="A625" s="2"/>
      <c r="B625" s="147"/>
      <c r="C625" s="32"/>
      <c r="F625" s="133"/>
      <c r="I625" s="154"/>
      <c r="L625" s="139"/>
      <c r="M625" s="133"/>
    </row>
    <row r="626" spans="1:13" ht="15.5" x14ac:dyDescent="0.35">
      <c r="A626" s="2"/>
      <c r="B626" s="147"/>
      <c r="C626" s="32"/>
      <c r="F626" s="133"/>
      <c r="I626" s="154"/>
      <c r="L626" s="139"/>
      <c r="M626" s="133"/>
    </row>
    <row r="627" spans="1:13" ht="15.5" x14ac:dyDescent="0.35">
      <c r="A627" s="2"/>
      <c r="B627" s="147"/>
      <c r="C627" s="32"/>
      <c r="F627" s="133"/>
      <c r="I627" s="154"/>
      <c r="L627" s="139"/>
      <c r="M627" s="133"/>
    </row>
    <row r="628" spans="1:13" ht="15.5" x14ac:dyDescent="0.35">
      <c r="A628" s="2"/>
      <c r="B628" s="147"/>
      <c r="C628" s="32"/>
      <c r="F628" s="133"/>
      <c r="I628" s="154"/>
      <c r="L628" s="139"/>
      <c r="M628" s="133"/>
    </row>
    <row r="629" spans="1:13" ht="15.5" x14ac:dyDescent="0.35">
      <c r="A629" s="2"/>
      <c r="B629" s="147"/>
      <c r="C629" s="32"/>
      <c r="F629" s="133"/>
      <c r="I629" s="154"/>
      <c r="L629" s="139"/>
      <c r="M629" s="133"/>
    </row>
    <row r="630" spans="1:13" ht="15.5" x14ac:dyDescent="0.35">
      <c r="A630" s="2"/>
      <c r="B630" s="147"/>
      <c r="C630" s="32"/>
      <c r="F630" s="133"/>
      <c r="I630" s="154"/>
      <c r="L630" s="139"/>
      <c r="M630" s="133"/>
    </row>
    <row r="631" spans="1:13" ht="15.5" x14ac:dyDescent="0.35">
      <c r="A631" s="2"/>
      <c r="B631" s="147"/>
      <c r="C631" s="32"/>
      <c r="F631" s="133"/>
      <c r="I631" s="154"/>
      <c r="L631" s="139"/>
      <c r="M631" s="133"/>
    </row>
    <row r="632" spans="1:13" ht="15.5" x14ac:dyDescent="0.35">
      <c r="A632" s="2"/>
      <c r="B632" s="147"/>
      <c r="C632" s="32"/>
      <c r="F632" s="133"/>
      <c r="I632" s="154"/>
      <c r="L632" s="139"/>
      <c r="M632" s="133"/>
    </row>
    <row r="633" spans="1:13" ht="15.5" x14ac:dyDescent="0.35">
      <c r="A633" s="2"/>
      <c r="B633" s="147"/>
      <c r="C633" s="32"/>
      <c r="F633" s="133"/>
      <c r="I633" s="154"/>
      <c r="L633" s="139"/>
      <c r="M633" s="133"/>
    </row>
    <row r="634" spans="1:13" ht="15.5" x14ac:dyDescent="0.35">
      <c r="A634" s="2"/>
      <c r="B634" s="147"/>
      <c r="C634" s="32"/>
      <c r="F634" s="133"/>
      <c r="I634" s="154"/>
      <c r="L634" s="139"/>
      <c r="M634" s="133"/>
    </row>
    <row r="635" spans="1:13" ht="15.5" x14ac:dyDescent="0.35">
      <c r="A635" s="2"/>
      <c r="B635" s="147"/>
      <c r="C635" s="32"/>
      <c r="F635" s="133"/>
      <c r="I635" s="154"/>
      <c r="L635" s="139"/>
      <c r="M635" s="133"/>
    </row>
    <row r="636" spans="1:13" ht="15.5" x14ac:dyDescent="0.35">
      <c r="A636" s="2"/>
      <c r="B636" s="147"/>
      <c r="C636" s="32"/>
      <c r="F636" s="133"/>
      <c r="I636" s="154"/>
      <c r="L636" s="139"/>
      <c r="M636" s="133"/>
    </row>
    <row r="637" spans="1:13" ht="15.5" x14ac:dyDescent="0.35">
      <c r="A637" s="2"/>
      <c r="B637" s="147"/>
      <c r="C637" s="32"/>
      <c r="F637" s="133"/>
      <c r="I637" s="154"/>
      <c r="L637" s="139"/>
      <c r="M637" s="133"/>
    </row>
    <row r="638" spans="1:13" ht="15.5" x14ac:dyDescent="0.35">
      <c r="A638" s="2"/>
      <c r="B638" s="147"/>
      <c r="C638" s="32"/>
      <c r="F638" s="133"/>
      <c r="I638" s="154"/>
      <c r="L638" s="139"/>
      <c r="M638" s="133"/>
    </row>
    <row r="639" spans="1:13" ht="15.5" x14ac:dyDescent="0.35">
      <c r="A639" s="2"/>
      <c r="B639" s="147"/>
      <c r="C639" s="32"/>
      <c r="F639" s="133"/>
      <c r="I639" s="154"/>
      <c r="L639" s="139"/>
      <c r="M639" s="133"/>
    </row>
    <row r="640" spans="1:13" ht="15.5" x14ac:dyDescent="0.35">
      <c r="A640" s="2"/>
      <c r="B640" s="147"/>
      <c r="C640" s="32"/>
      <c r="F640" s="133"/>
      <c r="I640" s="154"/>
      <c r="L640" s="139"/>
      <c r="M640" s="133"/>
    </row>
    <row r="641" spans="1:13" ht="15.5" x14ac:dyDescent="0.35">
      <c r="A641" s="2"/>
      <c r="B641" s="147"/>
      <c r="C641" s="32"/>
      <c r="F641" s="133"/>
      <c r="I641" s="154"/>
      <c r="L641" s="139"/>
      <c r="M641" s="133"/>
    </row>
    <row r="642" spans="1:13" ht="15.5" x14ac:dyDescent="0.35">
      <c r="A642" s="2"/>
      <c r="B642" s="147"/>
      <c r="C642" s="32"/>
      <c r="F642" s="133"/>
      <c r="I642" s="154"/>
      <c r="L642" s="139"/>
      <c r="M642" s="133"/>
    </row>
    <row r="643" spans="1:13" ht="15.5" x14ac:dyDescent="0.35">
      <c r="A643" s="2"/>
      <c r="B643" s="147"/>
      <c r="C643" s="32"/>
      <c r="F643" s="133"/>
      <c r="I643" s="154"/>
      <c r="L643" s="139"/>
      <c r="M643" s="133"/>
    </row>
    <row r="644" spans="1:13" ht="15.5" x14ac:dyDescent="0.35">
      <c r="A644" s="2"/>
      <c r="B644" s="147"/>
      <c r="C644" s="32"/>
      <c r="F644" s="133"/>
      <c r="I644" s="154"/>
      <c r="L644" s="139"/>
      <c r="M644" s="133"/>
    </row>
    <row r="645" spans="1:13" ht="15.5" x14ac:dyDescent="0.35">
      <c r="A645" s="2"/>
      <c r="B645" s="147"/>
      <c r="C645" s="32"/>
      <c r="F645" s="133"/>
      <c r="I645" s="154"/>
      <c r="L645" s="139"/>
      <c r="M645" s="133"/>
    </row>
    <row r="646" spans="1:13" ht="15.5" x14ac:dyDescent="0.35">
      <c r="A646" s="2"/>
      <c r="B646" s="147"/>
      <c r="C646" s="32"/>
      <c r="F646" s="133"/>
      <c r="I646" s="154"/>
      <c r="L646" s="139"/>
      <c r="M646" s="133"/>
    </row>
    <row r="647" spans="1:13" ht="15.5" x14ac:dyDescent="0.35">
      <c r="A647" s="2"/>
      <c r="B647" s="147"/>
      <c r="C647" s="32"/>
      <c r="F647" s="133"/>
      <c r="I647" s="154"/>
      <c r="L647" s="139"/>
      <c r="M647" s="133"/>
    </row>
    <row r="648" spans="1:13" ht="15.5" x14ac:dyDescent="0.35">
      <c r="A648" s="2"/>
      <c r="B648" s="147"/>
      <c r="C648" s="32"/>
      <c r="F648" s="133"/>
      <c r="I648" s="154"/>
      <c r="L648" s="139"/>
      <c r="M648" s="133"/>
    </row>
    <row r="649" spans="1:13" ht="15.5" x14ac:dyDescent="0.35">
      <c r="A649" s="2"/>
      <c r="B649" s="147"/>
      <c r="C649" s="32"/>
      <c r="F649" s="133"/>
      <c r="I649" s="154"/>
      <c r="L649" s="139"/>
      <c r="M649" s="133"/>
    </row>
    <row r="650" spans="1:13" ht="15.5" x14ac:dyDescent="0.35">
      <c r="A650" s="2"/>
      <c r="B650" s="147"/>
      <c r="C650" s="32"/>
      <c r="F650" s="133"/>
      <c r="I650" s="154"/>
      <c r="L650" s="139"/>
      <c r="M650" s="133"/>
    </row>
    <row r="651" spans="1:13" ht="15.5" x14ac:dyDescent="0.35">
      <c r="A651" s="2"/>
      <c r="B651" s="147"/>
      <c r="C651" s="32"/>
      <c r="F651" s="133"/>
      <c r="I651" s="154"/>
      <c r="L651" s="139"/>
      <c r="M651" s="133"/>
    </row>
    <row r="652" spans="1:13" ht="15.5" x14ac:dyDescent="0.35">
      <c r="A652" s="2"/>
      <c r="B652" s="147"/>
      <c r="C652" s="32"/>
      <c r="F652" s="133"/>
      <c r="I652" s="154"/>
      <c r="L652" s="139"/>
      <c r="M652" s="133"/>
    </row>
    <row r="653" spans="1:13" ht="15.5" x14ac:dyDescent="0.35">
      <c r="A653" s="2"/>
      <c r="B653" s="147"/>
      <c r="C653" s="32"/>
      <c r="F653" s="133"/>
      <c r="I653" s="154"/>
      <c r="L653" s="139"/>
      <c r="M653" s="133"/>
    </row>
    <row r="654" spans="1:13" ht="15.5" x14ac:dyDescent="0.35">
      <c r="A654" s="2"/>
      <c r="B654" s="147"/>
      <c r="C654" s="32"/>
      <c r="F654" s="133"/>
      <c r="I654" s="154"/>
      <c r="L654" s="139"/>
      <c r="M654" s="133"/>
    </row>
    <row r="655" spans="1:13" ht="15.5" x14ac:dyDescent="0.35">
      <c r="A655" s="2"/>
      <c r="B655" s="147"/>
      <c r="C655" s="32"/>
      <c r="F655" s="133"/>
      <c r="I655" s="154"/>
      <c r="L655" s="139"/>
      <c r="M655" s="133"/>
    </row>
    <row r="656" spans="1:13" ht="15.5" x14ac:dyDescent="0.35">
      <c r="A656" s="2"/>
      <c r="B656" s="147"/>
      <c r="C656" s="32"/>
      <c r="F656" s="133"/>
      <c r="I656" s="154"/>
      <c r="L656" s="139"/>
      <c r="M656" s="133"/>
    </row>
    <row r="657" spans="1:13" ht="15.5" x14ac:dyDescent="0.35">
      <c r="A657" s="2"/>
      <c r="B657" s="147"/>
      <c r="C657" s="32"/>
      <c r="F657" s="133"/>
      <c r="I657" s="154"/>
      <c r="L657" s="139"/>
      <c r="M657" s="133"/>
    </row>
    <row r="658" spans="1:13" ht="15.5" x14ac:dyDescent="0.35">
      <c r="A658" s="2"/>
      <c r="B658" s="147"/>
      <c r="C658" s="32"/>
      <c r="F658" s="133"/>
      <c r="I658" s="154"/>
      <c r="L658" s="139"/>
      <c r="M658" s="133"/>
    </row>
    <row r="659" spans="1:13" ht="15.5" x14ac:dyDescent="0.35">
      <c r="A659" s="2"/>
      <c r="B659" s="147"/>
      <c r="C659" s="32"/>
      <c r="F659" s="133"/>
      <c r="I659" s="154"/>
      <c r="L659" s="139"/>
      <c r="M659" s="133"/>
    </row>
    <row r="660" spans="1:13" ht="15.5" x14ac:dyDescent="0.35">
      <c r="A660" s="2"/>
      <c r="B660" s="147"/>
      <c r="C660" s="32"/>
      <c r="F660" s="133"/>
      <c r="I660" s="154"/>
      <c r="L660" s="139"/>
      <c r="M660" s="133"/>
    </row>
    <row r="661" spans="1:13" ht="15.5" x14ac:dyDescent="0.35">
      <c r="A661" s="2"/>
      <c r="B661" s="147"/>
      <c r="C661" s="32"/>
      <c r="F661" s="133"/>
      <c r="I661" s="154"/>
      <c r="L661" s="139"/>
      <c r="M661" s="133"/>
    </row>
    <row r="662" spans="1:13" ht="15.5" x14ac:dyDescent="0.35">
      <c r="A662" s="2"/>
      <c r="B662" s="147"/>
      <c r="C662" s="32"/>
      <c r="F662" s="133"/>
      <c r="I662" s="154"/>
      <c r="L662" s="139"/>
      <c r="M662" s="133"/>
    </row>
    <row r="663" spans="1:13" ht="15.5" x14ac:dyDescent="0.35">
      <c r="A663" s="2"/>
      <c r="B663" s="147"/>
      <c r="C663" s="32"/>
      <c r="F663" s="133"/>
      <c r="I663" s="154"/>
      <c r="L663" s="139"/>
      <c r="M663" s="133"/>
    </row>
    <row r="664" spans="1:13" ht="15.5" x14ac:dyDescent="0.35">
      <c r="A664" s="2"/>
      <c r="B664" s="147"/>
      <c r="C664" s="32"/>
      <c r="F664" s="133"/>
      <c r="I664" s="154"/>
      <c r="L664" s="139"/>
      <c r="M664" s="133"/>
    </row>
    <row r="665" spans="1:13" ht="15.5" x14ac:dyDescent="0.35">
      <c r="A665" s="2"/>
      <c r="B665" s="147"/>
      <c r="C665" s="32"/>
      <c r="F665" s="133"/>
      <c r="I665" s="154"/>
      <c r="L665" s="139"/>
      <c r="M665" s="133"/>
    </row>
    <row r="666" spans="1:13" ht="15.5" x14ac:dyDescent="0.35">
      <c r="A666" s="2"/>
      <c r="B666" s="147"/>
      <c r="C666" s="32"/>
      <c r="F666" s="133"/>
      <c r="I666" s="154"/>
      <c r="L666" s="139"/>
      <c r="M666" s="133"/>
    </row>
    <row r="667" spans="1:13" ht="15.5" x14ac:dyDescent="0.35">
      <c r="A667" s="2"/>
      <c r="B667" s="147"/>
      <c r="C667" s="32"/>
      <c r="F667" s="133"/>
      <c r="I667" s="154"/>
      <c r="L667" s="139"/>
      <c r="M667" s="133"/>
    </row>
    <row r="668" spans="1:13" ht="15.5" x14ac:dyDescent="0.35">
      <c r="A668" s="2"/>
      <c r="B668" s="147"/>
      <c r="C668" s="32"/>
      <c r="F668" s="133"/>
      <c r="I668" s="154"/>
      <c r="L668" s="139"/>
      <c r="M668" s="133"/>
    </row>
    <row r="669" spans="1:13" ht="15.5" x14ac:dyDescent="0.35">
      <c r="A669" s="2"/>
      <c r="B669" s="147"/>
      <c r="C669" s="32"/>
      <c r="F669" s="133"/>
      <c r="I669" s="154"/>
      <c r="L669" s="139"/>
      <c r="M669" s="133"/>
    </row>
    <row r="670" spans="1:13" ht="15.5" x14ac:dyDescent="0.35">
      <c r="A670" s="2"/>
      <c r="B670" s="147"/>
      <c r="C670" s="32"/>
      <c r="F670" s="133"/>
      <c r="I670" s="154"/>
      <c r="L670" s="139"/>
      <c r="M670" s="133"/>
    </row>
    <row r="671" spans="1:13" ht="15.5" x14ac:dyDescent="0.35">
      <c r="A671" s="2"/>
      <c r="B671" s="147"/>
      <c r="C671" s="32"/>
      <c r="F671" s="133"/>
      <c r="I671" s="154"/>
      <c r="L671" s="139"/>
      <c r="M671" s="133"/>
    </row>
    <row r="672" spans="1:13" ht="15.5" x14ac:dyDescent="0.35">
      <c r="A672" s="2"/>
      <c r="B672" s="147"/>
      <c r="C672" s="32"/>
      <c r="F672" s="133"/>
      <c r="I672" s="154"/>
      <c r="L672" s="139"/>
      <c r="M672" s="133"/>
    </row>
    <row r="673" spans="1:13" ht="15.5" x14ac:dyDescent="0.35">
      <c r="A673" s="2"/>
      <c r="B673" s="147"/>
      <c r="C673" s="32"/>
      <c r="F673" s="133"/>
      <c r="I673" s="154"/>
      <c r="L673" s="139"/>
      <c r="M673" s="133"/>
    </row>
    <row r="674" spans="1:13" ht="15.5" x14ac:dyDescent="0.35">
      <c r="A674" s="2"/>
      <c r="B674" s="147"/>
      <c r="C674" s="32"/>
      <c r="F674" s="133"/>
      <c r="I674" s="154"/>
      <c r="L674" s="139"/>
      <c r="M674" s="133"/>
    </row>
    <row r="675" spans="1:13" ht="15.5" x14ac:dyDescent="0.35">
      <c r="A675" s="2"/>
      <c r="B675" s="147"/>
      <c r="C675" s="32"/>
      <c r="F675" s="133"/>
      <c r="I675" s="154"/>
      <c r="L675" s="139"/>
      <c r="M675" s="133"/>
    </row>
    <row r="676" spans="1:13" ht="15.5" x14ac:dyDescent="0.35">
      <c r="A676" s="2"/>
      <c r="B676" s="147"/>
      <c r="C676" s="32"/>
      <c r="F676" s="133"/>
      <c r="I676" s="154"/>
      <c r="L676" s="139"/>
      <c r="M676" s="133"/>
    </row>
    <row r="677" spans="1:13" ht="15.5" x14ac:dyDescent="0.35">
      <c r="A677" s="2"/>
      <c r="B677" s="147"/>
      <c r="C677" s="32"/>
      <c r="F677" s="133"/>
      <c r="I677" s="154"/>
      <c r="L677" s="139"/>
      <c r="M677" s="133"/>
    </row>
    <row r="678" spans="1:13" ht="15.5" x14ac:dyDescent="0.35">
      <c r="A678" s="2"/>
      <c r="B678" s="147"/>
      <c r="C678" s="32"/>
      <c r="F678" s="133"/>
      <c r="I678" s="154"/>
      <c r="L678" s="139"/>
      <c r="M678" s="133"/>
    </row>
    <row r="679" spans="1:13" ht="15.5" x14ac:dyDescent="0.35">
      <c r="A679" s="2"/>
      <c r="B679" s="147"/>
      <c r="C679" s="32"/>
      <c r="F679" s="133"/>
      <c r="I679" s="154"/>
      <c r="L679" s="139"/>
      <c r="M679" s="133"/>
    </row>
    <row r="680" spans="1:13" ht="15.5" x14ac:dyDescent="0.35">
      <c r="A680" s="2"/>
      <c r="B680" s="147"/>
      <c r="C680" s="32"/>
      <c r="F680" s="133"/>
      <c r="I680" s="154"/>
      <c r="L680" s="139"/>
      <c r="M680" s="133"/>
    </row>
    <row r="681" spans="1:13" ht="15.5" x14ac:dyDescent="0.35">
      <c r="A681" s="2"/>
      <c r="B681" s="147"/>
      <c r="C681" s="32"/>
      <c r="F681" s="133"/>
      <c r="I681" s="154"/>
      <c r="L681" s="139"/>
      <c r="M681" s="133"/>
    </row>
    <row r="682" spans="1:13" ht="15.5" x14ac:dyDescent="0.35">
      <c r="A682" s="2"/>
      <c r="B682" s="147"/>
      <c r="C682" s="32"/>
      <c r="F682" s="133"/>
      <c r="I682" s="154"/>
      <c r="L682" s="139"/>
      <c r="M682" s="133"/>
    </row>
    <row r="683" spans="1:13" ht="15.5" x14ac:dyDescent="0.35">
      <c r="A683" s="2"/>
      <c r="B683" s="147"/>
      <c r="C683" s="32"/>
      <c r="F683" s="133"/>
      <c r="I683" s="154"/>
      <c r="L683" s="139"/>
      <c r="M683" s="133"/>
    </row>
    <row r="684" spans="1:13" ht="15.5" x14ac:dyDescent="0.35">
      <c r="A684" s="2"/>
      <c r="B684" s="147"/>
      <c r="C684" s="32"/>
      <c r="F684" s="133"/>
      <c r="I684" s="154"/>
      <c r="L684" s="139"/>
      <c r="M684" s="133"/>
    </row>
    <row r="685" spans="1:13" ht="15.5" x14ac:dyDescent="0.35">
      <c r="A685" s="2"/>
      <c r="B685" s="147"/>
      <c r="C685" s="32"/>
      <c r="F685" s="133"/>
      <c r="I685" s="154"/>
      <c r="L685" s="139"/>
      <c r="M685" s="133"/>
    </row>
    <row r="686" spans="1:13" ht="15.5" x14ac:dyDescent="0.35">
      <c r="A686" s="2"/>
      <c r="B686" s="147"/>
      <c r="C686" s="32"/>
      <c r="F686" s="133"/>
      <c r="I686" s="154"/>
      <c r="L686" s="139"/>
      <c r="M686" s="133"/>
    </row>
    <row r="687" spans="1:13" ht="15.5" x14ac:dyDescent="0.35">
      <c r="A687" s="2"/>
      <c r="B687" s="147"/>
      <c r="C687" s="32"/>
      <c r="F687" s="133"/>
      <c r="I687" s="154"/>
      <c r="L687" s="139"/>
      <c r="M687" s="133"/>
    </row>
    <row r="688" spans="1:13" ht="15.5" x14ac:dyDescent="0.35">
      <c r="A688" s="2"/>
      <c r="B688" s="147"/>
      <c r="C688" s="32"/>
      <c r="F688" s="133"/>
      <c r="I688" s="154"/>
      <c r="L688" s="139"/>
      <c r="M688" s="133"/>
    </row>
    <row r="689" spans="1:13" ht="15.5" x14ac:dyDescent="0.35">
      <c r="A689" s="2"/>
      <c r="B689" s="147"/>
      <c r="C689" s="32"/>
      <c r="F689" s="133"/>
      <c r="I689" s="154"/>
      <c r="L689" s="139"/>
      <c r="M689" s="133"/>
    </row>
    <row r="690" spans="1:13" ht="15.5" x14ac:dyDescent="0.35">
      <c r="A690" s="2"/>
      <c r="B690" s="147"/>
      <c r="C690" s="32"/>
      <c r="F690" s="133"/>
      <c r="I690" s="154"/>
      <c r="L690" s="139"/>
      <c r="M690" s="133"/>
    </row>
    <row r="691" spans="1:13" ht="15.5" x14ac:dyDescent="0.35">
      <c r="A691" s="2"/>
      <c r="B691" s="147"/>
      <c r="C691" s="32"/>
      <c r="F691" s="133"/>
      <c r="I691" s="154"/>
      <c r="L691" s="139"/>
      <c r="M691" s="133"/>
    </row>
    <row r="692" spans="1:13" ht="15.5" x14ac:dyDescent="0.35">
      <c r="A692" s="2"/>
      <c r="B692" s="147"/>
      <c r="C692" s="32"/>
      <c r="F692" s="133"/>
      <c r="I692" s="154"/>
      <c r="L692" s="139"/>
      <c r="M692" s="133"/>
    </row>
    <row r="693" spans="1:13" ht="15.5" x14ac:dyDescent="0.35">
      <c r="A693" s="2"/>
      <c r="B693" s="147"/>
      <c r="C693" s="32"/>
      <c r="F693" s="133"/>
      <c r="I693" s="154"/>
      <c r="L693" s="139"/>
      <c r="M693" s="133"/>
    </row>
    <row r="694" spans="1:13" ht="15.5" x14ac:dyDescent="0.35">
      <c r="A694" s="2"/>
      <c r="B694" s="147"/>
      <c r="C694" s="32"/>
      <c r="F694" s="133"/>
      <c r="I694" s="154"/>
      <c r="L694" s="139"/>
      <c r="M694" s="133"/>
    </row>
    <row r="695" spans="1:13" ht="15.5" x14ac:dyDescent="0.35">
      <c r="A695" s="2"/>
      <c r="B695" s="147"/>
      <c r="C695" s="32"/>
      <c r="F695" s="133"/>
      <c r="I695" s="32"/>
      <c r="L695" s="139"/>
      <c r="M695" s="133"/>
    </row>
    <row r="696" spans="1:13" ht="15.5" x14ac:dyDescent="0.35">
      <c r="A696" s="2"/>
      <c r="B696" s="147"/>
      <c r="C696" s="32"/>
      <c r="F696" s="133"/>
      <c r="I696" s="32"/>
      <c r="L696" s="139"/>
      <c r="M696" s="133"/>
    </row>
    <row r="697" spans="1:13" ht="15.5" x14ac:dyDescent="0.35">
      <c r="A697" s="2"/>
      <c r="B697" s="147"/>
      <c r="C697" s="32"/>
      <c r="F697" s="133"/>
      <c r="I697" s="32"/>
      <c r="L697" s="139"/>
      <c r="M697" s="133"/>
    </row>
    <row r="698" spans="1:13" ht="15.5" x14ac:dyDescent="0.35">
      <c r="A698" s="2"/>
      <c r="B698" s="147"/>
      <c r="C698" s="32"/>
      <c r="F698" s="133"/>
      <c r="I698" s="32"/>
      <c r="L698" s="139"/>
      <c r="M698" s="133"/>
    </row>
    <row r="699" spans="1:13" ht="15.5" x14ac:dyDescent="0.35">
      <c r="A699" s="2"/>
      <c r="B699" s="147"/>
      <c r="C699" s="32"/>
      <c r="F699" s="133"/>
      <c r="I699" s="32"/>
      <c r="L699" s="139"/>
      <c r="M699" s="133"/>
    </row>
    <row r="700" spans="1:13" ht="15.5" x14ac:dyDescent="0.35">
      <c r="A700" s="2"/>
      <c r="B700" s="147"/>
      <c r="C700" s="32"/>
      <c r="F700" s="133"/>
      <c r="I700" s="32"/>
      <c r="L700" s="139"/>
      <c r="M700" s="133"/>
    </row>
    <row r="701" spans="1:13" ht="15.5" x14ac:dyDescent="0.35">
      <c r="A701" s="2"/>
      <c r="B701" s="147"/>
      <c r="C701" s="32"/>
      <c r="F701" s="133"/>
      <c r="I701" s="32"/>
      <c r="L701" s="139"/>
      <c r="M701" s="133"/>
    </row>
    <row r="702" spans="1:13" ht="15.5" x14ac:dyDescent="0.35">
      <c r="A702" s="2"/>
      <c r="B702" s="147"/>
      <c r="C702" s="32"/>
      <c r="F702" s="133"/>
      <c r="I702" s="32"/>
      <c r="L702" s="139"/>
      <c r="M702" s="133"/>
    </row>
    <row r="703" spans="1:13" ht="15.5" x14ac:dyDescent="0.35">
      <c r="A703" s="2"/>
      <c r="B703" s="147"/>
      <c r="C703" s="32"/>
      <c r="F703" s="133"/>
      <c r="I703" s="32"/>
      <c r="L703" s="139"/>
      <c r="M703" s="133"/>
    </row>
    <row r="704" spans="1:13" ht="15.5" x14ac:dyDescent="0.35">
      <c r="A704" s="2"/>
      <c r="B704" s="147"/>
      <c r="C704" s="32"/>
      <c r="F704" s="133"/>
      <c r="I704" s="32"/>
      <c r="L704" s="139"/>
      <c r="M704" s="133"/>
    </row>
    <row r="705" spans="1:13" ht="15.5" x14ac:dyDescent="0.35">
      <c r="A705" s="2"/>
      <c r="B705" s="147"/>
      <c r="C705" s="32"/>
      <c r="F705" s="133"/>
      <c r="I705" s="32"/>
      <c r="L705" s="139"/>
      <c r="M705" s="133"/>
    </row>
    <row r="706" spans="1:13" ht="15.5" x14ac:dyDescent="0.35">
      <c r="A706" s="2"/>
      <c r="B706" s="147"/>
      <c r="C706" s="32"/>
      <c r="F706" s="133"/>
      <c r="I706" s="32"/>
      <c r="L706" s="139"/>
      <c r="M706" s="133"/>
    </row>
    <row r="707" spans="1:13" ht="15.5" x14ac:dyDescent="0.35">
      <c r="A707" s="2"/>
      <c r="B707" s="147"/>
      <c r="C707" s="32"/>
      <c r="F707" s="133"/>
      <c r="I707" s="32"/>
      <c r="L707" s="139"/>
      <c r="M707" s="133"/>
    </row>
    <row r="708" spans="1:13" ht="15.5" x14ac:dyDescent="0.35">
      <c r="A708" s="2"/>
      <c r="B708" s="147"/>
      <c r="C708" s="32"/>
      <c r="F708" s="133"/>
      <c r="I708" s="32"/>
      <c r="L708" s="139"/>
      <c r="M708" s="133"/>
    </row>
    <row r="709" spans="1:13" ht="15.5" x14ac:dyDescent="0.35">
      <c r="A709" s="2"/>
      <c r="B709" s="147"/>
      <c r="C709" s="32"/>
      <c r="F709" s="133"/>
      <c r="I709" s="32"/>
      <c r="L709" s="139"/>
      <c r="M709" s="133"/>
    </row>
    <row r="710" spans="1:13" ht="15.5" x14ac:dyDescent="0.35">
      <c r="A710" s="2"/>
      <c r="B710" s="147"/>
      <c r="C710" s="32"/>
      <c r="F710" s="133"/>
      <c r="I710" s="32"/>
      <c r="L710" s="139"/>
      <c r="M710" s="133"/>
    </row>
    <row r="711" spans="1:13" ht="15.5" x14ac:dyDescent="0.35">
      <c r="A711" s="2"/>
      <c r="B711" s="147"/>
      <c r="C711" s="32"/>
      <c r="F711" s="133"/>
      <c r="I711" s="32"/>
      <c r="L711" s="139"/>
      <c r="M711" s="133"/>
    </row>
    <row r="712" spans="1:13" ht="15.5" x14ac:dyDescent="0.35">
      <c r="A712" s="2"/>
      <c r="B712" s="147"/>
      <c r="C712" s="32"/>
      <c r="F712" s="133"/>
      <c r="I712" s="32"/>
      <c r="L712" s="139"/>
      <c r="M712" s="133"/>
    </row>
    <row r="713" spans="1:13" ht="15.5" x14ac:dyDescent="0.35">
      <c r="A713" s="2"/>
      <c r="B713" s="147"/>
      <c r="C713" s="32"/>
      <c r="F713" s="133"/>
      <c r="I713" s="32"/>
      <c r="L713" s="139"/>
      <c r="M713" s="133"/>
    </row>
    <row r="714" spans="1:13" ht="15.5" x14ac:dyDescent="0.35">
      <c r="A714" s="2"/>
      <c r="B714" s="147"/>
      <c r="C714" s="32"/>
      <c r="F714" s="133"/>
      <c r="I714" s="32"/>
      <c r="L714" s="139"/>
      <c r="M714" s="133"/>
    </row>
    <row r="715" spans="1:13" ht="15.5" x14ac:dyDescent="0.35">
      <c r="A715" s="2"/>
      <c r="B715" s="147"/>
      <c r="C715" s="32"/>
      <c r="F715" s="133"/>
      <c r="I715" s="32"/>
      <c r="L715" s="139"/>
      <c r="M715" s="133"/>
    </row>
    <row r="716" spans="1:13" ht="15.5" x14ac:dyDescent="0.35">
      <c r="A716" s="2"/>
      <c r="B716" s="147"/>
      <c r="C716" s="32"/>
      <c r="F716" s="133"/>
      <c r="I716" s="32"/>
      <c r="L716" s="139"/>
      <c r="M716" s="133"/>
    </row>
    <row r="717" spans="1:13" ht="15.5" x14ac:dyDescent="0.35">
      <c r="A717" s="2"/>
      <c r="B717" s="147"/>
      <c r="C717" s="32"/>
      <c r="F717" s="133"/>
      <c r="I717" s="32"/>
      <c r="L717" s="139"/>
      <c r="M717" s="133"/>
    </row>
    <row r="718" spans="1:13" ht="15.5" x14ac:dyDescent="0.35">
      <c r="A718" s="2"/>
      <c r="B718" s="147"/>
      <c r="C718" s="32"/>
      <c r="F718" s="133"/>
      <c r="I718" s="32"/>
      <c r="L718" s="139"/>
      <c r="M718" s="133"/>
    </row>
    <row r="719" spans="1:13" ht="15.5" x14ac:dyDescent="0.35">
      <c r="A719" s="2"/>
      <c r="B719" s="147"/>
      <c r="C719" s="32"/>
      <c r="F719" s="133"/>
      <c r="I719" s="32"/>
      <c r="L719" s="139"/>
      <c r="M719" s="133"/>
    </row>
    <row r="720" spans="1:13" ht="15.5" x14ac:dyDescent="0.35">
      <c r="A720" s="2"/>
      <c r="B720" s="147"/>
      <c r="C720" s="32"/>
      <c r="F720" s="133"/>
      <c r="I720" s="32"/>
      <c r="L720" s="139"/>
      <c r="M720" s="133"/>
    </row>
    <row r="721" spans="1:13" ht="15.5" x14ac:dyDescent="0.35">
      <c r="A721" s="2"/>
      <c r="B721" s="147"/>
      <c r="C721" s="32"/>
      <c r="F721" s="133"/>
      <c r="I721" s="32"/>
      <c r="L721" s="139"/>
      <c r="M721" s="133"/>
    </row>
    <row r="722" spans="1:13" ht="15.5" x14ac:dyDescent="0.35">
      <c r="A722" s="2"/>
      <c r="B722" s="147"/>
      <c r="C722" s="32"/>
      <c r="F722" s="133"/>
      <c r="I722" s="32"/>
      <c r="L722" s="139"/>
      <c r="M722" s="133"/>
    </row>
    <row r="723" spans="1:13" ht="15.5" x14ac:dyDescent="0.35">
      <c r="A723" s="2"/>
      <c r="B723" s="147"/>
      <c r="C723" s="32"/>
      <c r="F723" s="133"/>
      <c r="I723" s="32"/>
      <c r="L723" s="139"/>
      <c r="M723" s="133"/>
    </row>
    <row r="724" spans="1:13" ht="15.5" x14ac:dyDescent="0.35">
      <c r="A724" s="2"/>
      <c r="B724" s="147"/>
      <c r="C724" s="32"/>
      <c r="F724" s="133"/>
      <c r="I724" s="32"/>
      <c r="L724" s="139"/>
      <c r="M724" s="133"/>
    </row>
    <row r="725" spans="1:13" ht="15.5" x14ac:dyDescent="0.35">
      <c r="A725" s="2"/>
      <c r="B725" s="147"/>
      <c r="C725" s="32"/>
      <c r="F725" s="133"/>
      <c r="I725" s="32"/>
      <c r="L725" s="139"/>
      <c r="M725" s="133"/>
    </row>
    <row r="726" spans="1:13" ht="15.5" x14ac:dyDescent="0.35">
      <c r="A726" s="2"/>
      <c r="B726" s="147"/>
      <c r="C726" s="32"/>
      <c r="F726" s="133"/>
      <c r="I726" s="32"/>
      <c r="L726" s="139"/>
      <c r="M726" s="133"/>
    </row>
    <row r="727" spans="1:13" ht="15.5" x14ac:dyDescent="0.35">
      <c r="A727" s="2"/>
      <c r="B727" s="147"/>
      <c r="C727" s="32"/>
      <c r="F727" s="133"/>
      <c r="I727" s="32"/>
      <c r="L727" s="139"/>
      <c r="M727" s="133"/>
    </row>
    <row r="728" spans="1:13" ht="15.5" x14ac:dyDescent="0.35">
      <c r="A728" s="2"/>
      <c r="B728" s="147"/>
      <c r="C728" s="32"/>
      <c r="F728" s="133"/>
      <c r="I728" s="32"/>
      <c r="L728" s="139"/>
      <c r="M728" s="133"/>
    </row>
    <row r="729" spans="1:13" ht="15.5" x14ac:dyDescent="0.35">
      <c r="A729" s="2"/>
      <c r="B729" s="147"/>
      <c r="C729" s="32"/>
      <c r="F729" s="133"/>
      <c r="I729" s="32"/>
      <c r="L729" s="139"/>
      <c r="M729" s="133"/>
    </row>
    <row r="730" spans="1:13" ht="15.5" x14ac:dyDescent="0.35">
      <c r="A730" s="2"/>
      <c r="B730" s="147"/>
      <c r="C730" s="32"/>
      <c r="F730" s="133"/>
      <c r="I730" s="32"/>
      <c r="L730" s="139"/>
      <c r="M730" s="133"/>
    </row>
    <row r="731" spans="1:13" ht="15.5" x14ac:dyDescent="0.35">
      <c r="A731" s="2"/>
      <c r="B731" s="147"/>
      <c r="C731" s="32"/>
      <c r="F731" s="133"/>
      <c r="I731" s="32"/>
      <c r="L731" s="139"/>
      <c r="M731" s="133"/>
    </row>
    <row r="732" spans="1:13" ht="15.5" x14ac:dyDescent="0.35">
      <c r="A732" s="2"/>
      <c r="B732" s="147"/>
      <c r="C732" s="32"/>
      <c r="F732" s="133"/>
      <c r="I732" s="32"/>
      <c r="L732" s="139"/>
      <c r="M732" s="133"/>
    </row>
    <row r="733" spans="1:13" ht="15.5" x14ac:dyDescent="0.35">
      <c r="A733" s="2"/>
      <c r="B733" s="147"/>
      <c r="C733" s="32"/>
      <c r="F733" s="133"/>
      <c r="I733" s="32"/>
      <c r="L733" s="139"/>
      <c r="M733" s="133"/>
    </row>
    <row r="734" spans="1:13" ht="15.5" x14ac:dyDescent="0.35">
      <c r="A734" s="2"/>
      <c r="B734" s="147"/>
      <c r="C734" s="32"/>
      <c r="F734" s="133"/>
      <c r="I734" s="32"/>
      <c r="L734" s="139"/>
      <c r="M734" s="133"/>
    </row>
    <row r="735" spans="1:13" ht="15.5" x14ac:dyDescent="0.35">
      <c r="A735" s="2"/>
      <c r="B735" s="147"/>
      <c r="C735" s="32"/>
      <c r="F735" s="133"/>
      <c r="I735" s="32"/>
      <c r="L735" s="139"/>
      <c r="M735" s="133"/>
    </row>
    <row r="736" spans="1:13" ht="15.5" x14ac:dyDescent="0.35">
      <c r="A736" s="2"/>
      <c r="B736" s="147"/>
      <c r="C736" s="32"/>
      <c r="F736" s="133"/>
      <c r="I736" s="32"/>
      <c r="L736" s="139"/>
      <c r="M736" s="133"/>
    </row>
    <row r="737" spans="1:13" ht="15.5" x14ac:dyDescent="0.35">
      <c r="A737" s="2"/>
      <c r="B737" s="147"/>
      <c r="C737" s="32"/>
      <c r="F737" s="133"/>
      <c r="I737" s="32"/>
      <c r="L737" s="139"/>
      <c r="M737" s="133"/>
    </row>
    <row r="738" spans="1:13" ht="15.5" x14ac:dyDescent="0.35">
      <c r="A738" s="2"/>
      <c r="B738" s="147"/>
      <c r="C738" s="32"/>
      <c r="F738" s="133"/>
      <c r="I738" s="32"/>
      <c r="L738" s="139"/>
      <c r="M738" s="133"/>
    </row>
    <row r="739" spans="1:13" ht="15.5" x14ac:dyDescent="0.35">
      <c r="A739" s="2"/>
      <c r="B739" s="147"/>
      <c r="C739" s="32"/>
      <c r="F739" s="133"/>
      <c r="I739" s="32"/>
      <c r="L739" s="139"/>
      <c r="M739" s="133"/>
    </row>
    <row r="740" spans="1:13" ht="15.5" x14ac:dyDescent="0.35">
      <c r="A740" s="2"/>
      <c r="B740" s="147"/>
      <c r="C740" s="32"/>
      <c r="F740" s="133"/>
      <c r="I740" s="32"/>
      <c r="L740" s="139"/>
      <c r="M740" s="133"/>
    </row>
    <row r="741" spans="1:13" ht="15.5" x14ac:dyDescent="0.35">
      <c r="A741" s="2"/>
      <c r="B741" s="147"/>
      <c r="C741" s="32"/>
      <c r="F741" s="133"/>
      <c r="I741" s="32"/>
      <c r="L741" s="139"/>
      <c r="M741" s="133"/>
    </row>
    <row r="742" spans="1:13" ht="15.5" x14ac:dyDescent="0.35">
      <c r="A742" s="2"/>
      <c r="B742" s="147"/>
      <c r="C742" s="32"/>
      <c r="F742" s="133"/>
      <c r="I742" s="32"/>
      <c r="L742" s="139"/>
      <c r="M742" s="133"/>
    </row>
    <row r="743" spans="1:13" ht="15.5" x14ac:dyDescent="0.35">
      <c r="A743" s="2"/>
      <c r="B743" s="147"/>
      <c r="C743" s="32"/>
      <c r="F743" s="133"/>
      <c r="I743" s="32"/>
      <c r="L743" s="139"/>
      <c r="M743" s="133"/>
    </row>
    <row r="744" spans="1:13" ht="15.5" x14ac:dyDescent="0.35">
      <c r="A744" s="2"/>
      <c r="B744" s="147"/>
      <c r="C744" s="32"/>
      <c r="F744" s="133"/>
      <c r="I744" s="32"/>
      <c r="L744" s="139"/>
      <c r="M744" s="133"/>
    </row>
    <row r="745" spans="1:13" ht="15.5" x14ac:dyDescent="0.35">
      <c r="A745" s="2"/>
      <c r="B745" s="147"/>
      <c r="C745" s="32"/>
      <c r="F745" s="133"/>
      <c r="I745" s="32"/>
      <c r="L745" s="139"/>
      <c r="M745" s="133"/>
    </row>
    <row r="746" spans="1:13" ht="15.5" x14ac:dyDescent="0.35">
      <c r="A746" s="2"/>
      <c r="B746" s="147"/>
      <c r="C746" s="32"/>
      <c r="F746" s="133"/>
      <c r="I746" s="32"/>
      <c r="L746" s="139"/>
      <c r="M746" s="133"/>
    </row>
    <row r="747" spans="1:13" ht="15.5" x14ac:dyDescent="0.35">
      <c r="A747" s="2"/>
      <c r="B747" s="147"/>
      <c r="C747" s="32"/>
      <c r="F747" s="133"/>
      <c r="I747" s="32"/>
      <c r="L747" s="139"/>
      <c r="M747" s="133"/>
    </row>
    <row r="748" spans="1:13" ht="15.5" x14ac:dyDescent="0.35">
      <c r="A748" s="2"/>
      <c r="B748" s="147"/>
      <c r="C748" s="32"/>
      <c r="F748" s="133"/>
      <c r="I748" s="32"/>
      <c r="L748" s="139"/>
      <c r="M748" s="133"/>
    </row>
    <row r="749" spans="1:13" ht="15.5" x14ac:dyDescent="0.35">
      <c r="A749" s="2"/>
      <c r="B749" s="147"/>
      <c r="C749" s="32"/>
      <c r="F749" s="133"/>
      <c r="I749" s="32"/>
      <c r="L749" s="139"/>
      <c r="M749" s="133"/>
    </row>
    <row r="750" spans="1:13" ht="15.5" x14ac:dyDescent="0.35">
      <c r="A750" s="2"/>
      <c r="B750" s="147"/>
      <c r="C750" s="32"/>
      <c r="F750" s="133"/>
      <c r="I750" s="32"/>
      <c r="L750" s="139"/>
      <c r="M750" s="133"/>
    </row>
    <row r="751" spans="1:13" ht="15.5" x14ac:dyDescent="0.35">
      <c r="A751" s="2"/>
      <c r="B751" s="147"/>
      <c r="C751" s="32"/>
      <c r="F751" s="133"/>
      <c r="I751" s="32"/>
      <c r="L751" s="139"/>
      <c r="M751" s="133"/>
    </row>
    <row r="752" spans="1:13" ht="15.5" x14ac:dyDescent="0.35">
      <c r="A752" s="2"/>
      <c r="B752" s="147"/>
      <c r="C752" s="32"/>
      <c r="F752" s="133"/>
      <c r="I752" s="32"/>
      <c r="L752" s="139"/>
      <c r="M752" s="133"/>
    </row>
    <row r="753" spans="1:13" ht="15.5" x14ac:dyDescent="0.35">
      <c r="A753" s="2"/>
      <c r="B753" s="147"/>
      <c r="C753" s="32"/>
      <c r="F753" s="133"/>
      <c r="I753" s="32"/>
      <c r="L753" s="139"/>
      <c r="M753" s="133"/>
    </row>
    <row r="754" spans="1:13" ht="15.5" x14ac:dyDescent="0.35">
      <c r="A754" s="2"/>
      <c r="B754" s="147"/>
      <c r="C754" s="32"/>
      <c r="F754" s="133"/>
      <c r="I754" s="32"/>
      <c r="L754" s="139"/>
      <c r="M754" s="133"/>
    </row>
    <row r="755" spans="1:13" ht="15.5" x14ac:dyDescent="0.35">
      <c r="A755" s="2"/>
      <c r="B755" s="147"/>
      <c r="C755" s="32"/>
      <c r="F755" s="133"/>
      <c r="I755" s="32"/>
      <c r="L755" s="139"/>
      <c r="M755" s="133"/>
    </row>
    <row r="756" spans="1:13" ht="15.5" x14ac:dyDescent="0.35">
      <c r="A756" s="2"/>
      <c r="B756" s="147"/>
      <c r="C756" s="32"/>
      <c r="F756" s="133"/>
      <c r="I756" s="32"/>
      <c r="L756" s="139"/>
      <c r="M756" s="133"/>
    </row>
    <row r="757" spans="1:13" ht="15.5" x14ac:dyDescent="0.35">
      <c r="A757" s="2"/>
      <c r="B757" s="147"/>
      <c r="C757" s="32"/>
      <c r="F757" s="133"/>
      <c r="I757" s="32"/>
      <c r="L757" s="139"/>
      <c r="M757" s="133"/>
    </row>
    <row r="758" spans="1:13" ht="15.5" x14ac:dyDescent="0.35">
      <c r="A758" s="2"/>
      <c r="B758" s="147"/>
      <c r="C758" s="32"/>
      <c r="F758" s="133"/>
      <c r="I758" s="32"/>
      <c r="L758" s="139"/>
      <c r="M758" s="133"/>
    </row>
    <row r="759" spans="1:13" ht="15.5" x14ac:dyDescent="0.35">
      <c r="A759" s="2"/>
      <c r="B759" s="147"/>
      <c r="C759" s="32"/>
      <c r="F759" s="133"/>
      <c r="I759" s="32"/>
      <c r="L759" s="139"/>
      <c r="M759" s="133"/>
    </row>
    <row r="760" spans="1:13" ht="15.5" x14ac:dyDescent="0.35">
      <c r="A760" s="2"/>
      <c r="B760" s="147"/>
      <c r="C760" s="32"/>
      <c r="F760" s="133"/>
      <c r="I760" s="32"/>
      <c r="L760" s="139"/>
      <c r="M760" s="133"/>
    </row>
    <row r="761" spans="1:13" ht="15.5" x14ac:dyDescent="0.35">
      <c r="A761" s="2"/>
      <c r="B761" s="147"/>
      <c r="C761" s="32"/>
      <c r="F761" s="133"/>
      <c r="I761" s="32"/>
      <c r="L761" s="139"/>
      <c r="M761" s="133"/>
    </row>
    <row r="762" spans="1:13" ht="15.5" x14ac:dyDescent="0.35">
      <c r="A762" s="2"/>
      <c r="B762" s="147"/>
      <c r="C762" s="32"/>
      <c r="F762" s="133"/>
      <c r="I762" s="32"/>
      <c r="L762" s="139"/>
      <c r="M762" s="133"/>
    </row>
    <row r="763" spans="1:13" ht="15.5" x14ac:dyDescent="0.35">
      <c r="A763" s="2"/>
      <c r="B763" s="147"/>
      <c r="C763" s="32"/>
      <c r="F763" s="133"/>
      <c r="I763" s="32"/>
      <c r="L763" s="139"/>
      <c r="M763" s="133"/>
    </row>
    <row r="764" spans="1:13" ht="15.5" x14ac:dyDescent="0.35">
      <c r="A764" s="2"/>
      <c r="B764" s="147"/>
      <c r="C764" s="32"/>
      <c r="F764" s="133"/>
      <c r="I764" s="32"/>
      <c r="L764" s="139"/>
      <c r="M764" s="133"/>
    </row>
    <row r="765" spans="1:13" ht="15.5" x14ac:dyDescent="0.35">
      <c r="A765" s="2"/>
      <c r="B765" s="147"/>
      <c r="C765" s="32"/>
      <c r="F765" s="133"/>
      <c r="I765" s="32"/>
      <c r="L765" s="139"/>
      <c r="M765" s="133"/>
    </row>
    <row r="766" spans="1:13" ht="15.5" x14ac:dyDescent="0.35">
      <c r="A766" s="2"/>
      <c r="B766" s="147"/>
      <c r="C766" s="32"/>
      <c r="F766" s="133"/>
      <c r="I766" s="32"/>
      <c r="L766" s="139"/>
      <c r="M766" s="133"/>
    </row>
    <row r="767" spans="1:13" ht="15.5" x14ac:dyDescent="0.35">
      <c r="A767" s="2"/>
      <c r="B767" s="147"/>
      <c r="C767" s="32"/>
      <c r="F767" s="133"/>
      <c r="I767" s="32"/>
      <c r="L767" s="139"/>
      <c r="M767" s="133"/>
    </row>
    <row r="768" spans="1:13" ht="15.5" x14ac:dyDescent="0.35">
      <c r="A768" s="2"/>
      <c r="B768" s="147"/>
      <c r="C768" s="32"/>
      <c r="F768" s="133"/>
      <c r="I768" s="32"/>
      <c r="L768" s="139"/>
      <c r="M768" s="133"/>
    </row>
    <row r="769" spans="1:13" ht="15.5" x14ac:dyDescent="0.35">
      <c r="A769" s="2"/>
      <c r="B769" s="147"/>
      <c r="C769" s="32"/>
      <c r="F769" s="133"/>
      <c r="I769" s="32"/>
      <c r="L769" s="139"/>
      <c r="M769" s="133"/>
    </row>
    <row r="770" spans="1:13" ht="15.5" x14ac:dyDescent="0.35">
      <c r="A770" s="2"/>
      <c r="B770" s="147"/>
      <c r="C770" s="32"/>
      <c r="F770" s="133"/>
      <c r="I770" s="32"/>
      <c r="L770" s="139"/>
      <c r="M770" s="133"/>
    </row>
    <row r="771" spans="1:13" ht="15.5" x14ac:dyDescent="0.35">
      <c r="A771" s="2"/>
      <c r="B771" s="147"/>
      <c r="C771" s="32"/>
      <c r="F771" s="133"/>
      <c r="I771" s="32"/>
      <c r="L771" s="139"/>
      <c r="M771" s="133"/>
    </row>
    <row r="772" spans="1:13" ht="15.5" x14ac:dyDescent="0.35">
      <c r="A772" s="2"/>
      <c r="B772" s="147"/>
      <c r="C772" s="32"/>
      <c r="F772" s="133"/>
      <c r="I772" s="32"/>
      <c r="L772" s="139"/>
      <c r="M772" s="133"/>
    </row>
    <row r="773" spans="1:13" ht="15.5" x14ac:dyDescent="0.35">
      <c r="A773" s="2"/>
      <c r="B773" s="147"/>
      <c r="C773" s="32"/>
      <c r="F773" s="133"/>
      <c r="I773" s="32"/>
      <c r="L773" s="139"/>
      <c r="M773" s="133"/>
    </row>
    <row r="774" spans="1:13" ht="15.5" x14ac:dyDescent="0.35">
      <c r="A774" s="2"/>
      <c r="B774" s="147"/>
      <c r="C774" s="32"/>
      <c r="F774" s="133"/>
      <c r="I774" s="32"/>
      <c r="L774" s="139"/>
      <c r="M774" s="133"/>
    </row>
    <row r="775" spans="1:13" ht="15.5" x14ac:dyDescent="0.35">
      <c r="A775" s="2"/>
      <c r="B775" s="147"/>
      <c r="C775" s="32"/>
      <c r="F775" s="133"/>
      <c r="I775" s="32"/>
      <c r="L775" s="139"/>
      <c r="M775" s="133"/>
    </row>
    <row r="776" spans="1:13" ht="15.5" x14ac:dyDescent="0.35">
      <c r="A776" s="2"/>
      <c r="B776" s="147"/>
      <c r="C776" s="32"/>
      <c r="F776" s="133"/>
      <c r="I776" s="32"/>
      <c r="L776" s="139"/>
      <c r="M776" s="133"/>
    </row>
    <row r="777" spans="1:13" ht="15.5" x14ac:dyDescent="0.35">
      <c r="A777" s="2"/>
      <c r="B777" s="147"/>
      <c r="C777" s="32"/>
      <c r="F777" s="133"/>
      <c r="I777" s="32"/>
      <c r="L777" s="139"/>
      <c r="M777" s="133"/>
    </row>
    <row r="778" spans="1:13" ht="15.5" x14ac:dyDescent="0.35">
      <c r="A778" s="2"/>
      <c r="B778" s="147"/>
      <c r="C778" s="32"/>
      <c r="F778" s="133"/>
      <c r="I778" s="32"/>
      <c r="L778" s="139"/>
      <c r="M778" s="133"/>
    </row>
    <row r="779" spans="1:13" ht="15.5" x14ac:dyDescent="0.35">
      <c r="A779" s="2"/>
      <c r="B779" s="147"/>
      <c r="C779" s="32"/>
      <c r="F779" s="133"/>
      <c r="I779" s="32"/>
      <c r="L779" s="139"/>
      <c r="M779" s="133"/>
    </row>
    <row r="780" spans="1:13" ht="15.5" x14ac:dyDescent="0.35">
      <c r="A780" s="2"/>
      <c r="B780" s="147"/>
      <c r="C780" s="32"/>
      <c r="F780" s="133"/>
      <c r="I780" s="32"/>
      <c r="L780" s="139"/>
      <c r="M780" s="133"/>
    </row>
    <row r="781" spans="1:13" ht="15.5" x14ac:dyDescent="0.35">
      <c r="A781" s="2"/>
      <c r="B781" s="147"/>
      <c r="C781" s="32"/>
      <c r="F781" s="133"/>
      <c r="I781" s="32"/>
      <c r="L781" s="139"/>
      <c r="M781" s="133"/>
    </row>
    <row r="782" spans="1:13" ht="15.5" x14ac:dyDescent="0.35">
      <c r="A782" s="2"/>
      <c r="B782" s="147"/>
      <c r="C782" s="32"/>
      <c r="F782" s="133"/>
      <c r="I782" s="32"/>
      <c r="L782" s="139"/>
      <c r="M782" s="133"/>
    </row>
    <row r="783" spans="1:13" ht="15.5" x14ac:dyDescent="0.35">
      <c r="A783" s="2"/>
      <c r="B783" s="147"/>
      <c r="C783" s="32"/>
      <c r="F783" s="133"/>
      <c r="I783" s="32"/>
      <c r="L783" s="139"/>
      <c r="M783" s="133"/>
    </row>
    <row r="784" spans="1:13" ht="15.5" x14ac:dyDescent="0.35">
      <c r="A784" s="2"/>
      <c r="B784" s="147"/>
      <c r="C784" s="32"/>
      <c r="F784" s="133"/>
      <c r="I784" s="32"/>
      <c r="L784" s="139"/>
      <c r="M784" s="133"/>
    </row>
    <row r="785" spans="1:13" ht="15.5" x14ac:dyDescent="0.35">
      <c r="A785" s="2"/>
      <c r="B785" s="147"/>
      <c r="C785" s="32"/>
      <c r="F785" s="133"/>
      <c r="I785" s="32"/>
      <c r="L785" s="139"/>
      <c r="M785" s="133"/>
    </row>
    <row r="786" spans="1:13" ht="15.5" x14ac:dyDescent="0.35">
      <c r="A786" s="2"/>
      <c r="B786" s="147"/>
      <c r="C786" s="32"/>
      <c r="F786" s="133"/>
      <c r="I786" s="32"/>
      <c r="L786" s="139"/>
      <c r="M786" s="133"/>
    </row>
    <row r="787" spans="1:13" ht="15.5" x14ac:dyDescent="0.35">
      <c r="A787" s="2"/>
      <c r="B787" s="147"/>
      <c r="C787" s="32"/>
      <c r="F787" s="133"/>
      <c r="I787" s="32"/>
      <c r="L787" s="139"/>
      <c r="M787" s="133"/>
    </row>
    <row r="788" spans="1:13" ht="15.5" x14ac:dyDescent="0.35">
      <c r="A788" s="2"/>
      <c r="B788" s="147"/>
      <c r="C788" s="32"/>
      <c r="F788" s="133"/>
      <c r="I788" s="32"/>
      <c r="L788" s="139"/>
      <c r="M788" s="133"/>
    </row>
    <row r="789" spans="1:13" ht="15.5" x14ac:dyDescent="0.35">
      <c r="A789" s="2"/>
      <c r="B789" s="147"/>
      <c r="C789" s="32"/>
      <c r="F789" s="133"/>
      <c r="I789" s="32"/>
      <c r="L789" s="139"/>
      <c r="M789" s="133"/>
    </row>
    <row r="790" spans="1:13" ht="15.5" x14ac:dyDescent="0.35">
      <c r="A790" s="2"/>
      <c r="B790" s="147"/>
      <c r="C790" s="32"/>
      <c r="F790" s="133"/>
      <c r="I790" s="32"/>
      <c r="L790" s="139"/>
      <c r="M790" s="133"/>
    </row>
    <row r="791" spans="1:13" ht="15.5" x14ac:dyDescent="0.35">
      <c r="A791" s="2"/>
      <c r="B791" s="147"/>
      <c r="C791" s="32"/>
      <c r="F791" s="133"/>
      <c r="I791" s="32"/>
      <c r="L791" s="139"/>
      <c r="M791" s="133"/>
    </row>
    <row r="792" spans="1:13" ht="15.5" x14ac:dyDescent="0.35">
      <c r="A792" s="2"/>
      <c r="B792" s="147"/>
      <c r="C792" s="32"/>
      <c r="F792" s="133"/>
      <c r="I792" s="32"/>
      <c r="L792" s="139"/>
      <c r="M792" s="133"/>
    </row>
    <row r="793" spans="1:13" ht="15.5" x14ac:dyDescent="0.35">
      <c r="A793" s="2"/>
      <c r="B793" s="147"/>
      <c r="C793" s="32"/>
      <c r="F793" s="133"/>
      <c r="I793" s="32"/>
      <c r="L793" s="139"/>
      <c r="M793" s="133"/>
    </row>
    <row r="794" spans="1:13" ht="15.5" x14ac:dyDescent="0.35">
      <c r="A794" s="2"/>
      <c r="B794" s="147"/>
      <c r="C794" s="32"/>
      <c r="F794" s="133"/>
      <c r="I794" s="32"/>
      <c r="L794" s="139"/>
      <c r="M794" s="133"/>
    </row>
    <row r="795" spans="1:13" ht="15.5" x14ac:dyDescent="0.35">
      <c r="A795" s="2"/>
      <c r="B795" s="147"/>
      <c r="C795" s="32"/>
      <c r="F795" s="133"/>
      <c r="I795" s="32"/>
      <c r="L795" s="139"/>
      <c r="M795" s="133"/>
    </row>
    <row r="796" spans="1:13" ht="15.5" x14ac:dyDescent="0.35">
      <c r="A796" s="2"/>
      <c r="B796" s="147"/>
      <c r="C796" s="32"/>
      <c r="F796" s="133"/>
      <c r="I796" s="32"/>
      <c r="L796" s="139"/>
      <c r="M796" s="133"/>
    </row>
    <row r="797" spans="1:13" ht="15.5" x14ac:dyDescent="0.35">
      <c r="A797" s="2"/>
      <c r="B797" s="147"/>
      <c r="C797" s="32"/>
      <c r="F797" s="133"/>
      <c r="I797" s="32"/>
      <c r="L797" s="139"/>
      <c r="M797" s="133"/>
    </row>
    <row r="798" spans="1:13" ht="15.5" x14ac:dyDescent="0.35">
      <c r="A798" s="2"/>
      <c r="B798" s="147"/>
      <c r="C798" s="32"/>
      <c r="F798" s="133"/>
      <c r="I798" s="32"/>
      <c r="L798" s="139"/>
      <c r="M798" s="133"/>
    </row>
    <row r="799" spans="1:13" ht="15.5" x14ac:dyDescent="0.35">
      <c r="A799" s="2"/>
      <c r="B799" s="147"/>
      <c r="C799" s="32"/>
      <c r="F799" s="133"/>
      <c r="I799" s="32"/>
      <c r="L799" s="139"/>
      <c r="M799" s="133"/>
    </row>
    <row r="800" spans="1:13" ht="15.5" x14ac:dyDescent="0.35">
      <c r="A800" s="2"/>
      <c r="B800" s="147"/>
      <c r="C800" s="32"/>
      <c r="F800" s="133"/>
      <c r="I800" s="32"/>
      <c r="L800" s="139"/>
      <c r="M800" s="133"/>
    </row>
    <row r="801" spans="1:13" ht="15.5" x14ac:dyDescent="0.35">
      <c r="A801" s="2"/>
      <c r="B801" s="147"/>
      <c r="C801" s="32"/>
      <c r="F801" s="133"/>
      <c r="I801" s="32"/>
      <c r="L801" s="139"/>
      <c r="M801" s="133"/>
    </row>
    <row r="802" spans="1:13" ht="15.5" x14ac:dyDescent="0.35">
      <c r="A802" s="2"/>
      <c r="B802" s="147"/>
      <c r="C802" s="32"/>
      <c r="F802" s="133"/>
      <c r="I802" s="32"/>
      <c r="L802" s="139"/>
      <c r="M802" s="133"/>
    </row>
    <row r="803" spans="1:13" ht="15.5" x14ac:dyDescent="0.35">
      <c r="A803" s="2"/>
      <c r="B803" s="147"/>
      <c r="C803" s="32"/>
      <c r="F803" s="133"/>
      <c r="I803" s="32"/>
      <c r="L803" s="139"/>
      <c r="M803" s="133"/>
    </row>
    <row r="804" spans="1:13" ht="15.5" x14ac:dyDescent="0.35">
      <c r="A804" s="2"/>
      <c r="B804" s="147"/>
      <c r="C804" s="32"/>
      <c r="F804" s="133"/>
      <c r="I804" s="32"/>
      <c r="L804" s="139"/>
      <c r="M804" s="133"/>
    </row>
    <row r="805" spans="1:13" ht="15.5" x14ac:dyDescent="0.35">
      <c r="A805" s="2"/>
      <c r="B805" s="147"/>
      <c r="C805" s="32"/>
      <c r="F805" s="133"/>
      <c r="I805" s="32"/>
      <c r="L805" s="139"/>
      <c r="M805" s="133"/>
    </row>
    <row r="806" spans="1:13" ht="15.5" x14ac:dyDescent="0.35">
      <c r="A806" s="2"/>
      <c r="B806" s="147"/>
      <c r="C806" s="32"/>
      <c r="F806" s="133"/>
      <c r="I806" s="32"/>
      <c r="L806" s="139"/>
      <c r="M806" s="133"/>
    </row>
    <row r="807" spans="1:13" ht="15.5" x14ac:dyDescent="0.35">
      <c r="A807" s="2"/>
      <c r="B807" s="147"/>
      <c r="C807" s="32"/>
      <c r="F807" s="133"/>
      <c r="I807" s="32"/>
      <c r="L807" s="139"/>
      <c r="M807" s="133"/>
    </row>
    <row r="808" spans="1:13" ht="15.5" x14ac:dyDescent="0.35">
      <c r="A808" s="2"/>
      <c r="B808" s="147"/>
      <c r="C808" s="32"/>
      <c r="F808" s="133"/>
      <c r="I808" s="32"/>
      <c r="L808" s="139"/>
      <c r="M808" s="133"/>
    </row>
    <row r="809" spans="1:13" ht="15.5" x14ac:dyDescent="0.35">
      <c r="A809" s="2"/>
      <c r="B809" s="147"/>
      <c r="C809" s="32"/>
      <c r="F809" s="133"/>
      <c r="I809" s="32"/>
      <c r="L809" s="139"/>
      <c r="M809" s="133"/>
    </row>
    <row r="810" spans="1:13" ht="15.5" x14ac:dyDescent="0.35">
      <c r="A810" s="2"/>
      <c r="B810" s="147"/>
      <c r="C810" s="32"/>
      <c r="F810" s="133"/>
      <c r="I810" s="32"/>
      <c r="L810" s="139"/>
      <c r="M810" s="133"/>
    </row>
    <row r="811" spans="1:13" ht="15.5" x14ac:dyDescent="0.35">
      <c r="A811" s="2"/>
      <c r="B811" s="147"/>
      <c r="C811" s="32"/>
      <c r="F811" s="133"/>
      <c r="I811" s="32"/>
      <c r="L811" s="139"/>
      <c r="M811" s="133"/>
    </row>
    <row r="812" spans="1:13" ht="15.5" x14ac:dyDescent="0.35">
      <c r="A812" s="2"/>
      <c r="B812" s="147"/>
      <c r="C812" s="32"/>
      <c r="F812" s="133"/>
      <c r="I812" s="32"/>
      <c r="L812" s="139"/>
      <c r="M812" s="133"/>
    </row>
    <row r="813" spans="1:13" ht="15.5" x14ac:dyDescent="0.35">
      <c r="A813" s="2"/>
      <c r="B813" s="147"/>
      <c r="C813" s="32"/>
      <c r="F813" s="133"/>
      <c r="I813" s="32"/>
      <c r="L813" s="139"/>
      <c r="M813" s="133"/>
    </row>
    <row r="814" spans="1:13" ht="15.5" x14ac:dyDescent="0.35">
      <c r="A814" s="2"/>
      <c r="B814" s="147"/>
      <c r="C814" s="32"/>
      <c r="F814" s="133"/>
      <c r="I814" s="32"/>
      <c r="L814" s="139"/>
      <c r="M814" s="133"/>
    </row>
    <row r="815" spans="1:13" ht="15.5" x14ac:dyDescent="0.35">
      <c r="A815" s="2"/>
      <c r="B815" s="147"/>
      <c r="C815" s="32"/>
      <c r="F815" s="133"/>
      <c r="I815" s="32"/>
      <c r="L815" s="139"/>
      <c r="M815" s="133"/>
    </row>
    <row r="816" spans="1:13" ht="15.5" x14ac:dyDescent="0.35">
      <c r="A816" s="2"/>
      <c r="B816" s="147"/>
      <c r="C816" s="32"/>
      <c r="F816" s="25"/>
      <c r="I816" s="32"/>
      <c r="L816" s="139"/>
      <c r="M816" s="133"/>
    </row>
    <row r="817" spans="1:13" ht="15.5" x14ac:dyDescent="0.35">
      <c r="A817" s="2"/>
      <c r="B817" s="147"/>
      <c r="C817" s="32"/>
      <c r="F817" s="25"/>
      <c r="I817" s="32"/>
      <c r="L817" s="139"/>
      <c r="M817" s="133"/>
    </row>
    <row r="818" spans="1:13" ht="15.5" x14ac:dyDescent="0.35">
      <c r="A818" s="2"/>
      <c r="B818" s="147"/>
      <c r="C818" s="32"/>
      <c r="F818" s="25"/>
      <c r="I818" s="32"/>
      <c r="L818" s="139"/>
      <c r="M818" s="133"/>
    </row>
    <row r="819" spans="1:13" ht="15.5" x14ac:dyDescent="0.35">
      <c r="A819" s="2"/>
      <c r="B819" s="147"/>
      <c r="C819" s="32"/>
      <c r="F819" s="25"/>
      <c r="I819" s="32"/>
      <c r="L819" s="139"/>
      <c r="M819" s="133"/>
    </row>
    <row r="820" spans="1:13" ht="15.5" x14ac:dyDescent="0.35">
      <c r="A820" s="2"/>
      <c r="B820" s="147"/>
      <c r="C820" s="32"/>
      <c r="F820" s="25"/>
      <c r="I820" s="32"/>
      <c r="L820" s="139"/>
      <c r="M820" s="133"/>
    </row>
    <row r="821" spans="1:13" ht="15.5" x14ac:dyDescent="0.35">
      <c r="A821" s="2"/>
      <c r="B821" s="147"/>
      <c r="C821" s="32"/>
      <c r="F821" s="25"/>
      <c r="I821" s="32"/>
      <c r="L821" s="139"/>
      <c r="M821" s="133"/>
    </row>
    <row r="822" spans="1:13" ht="15.5" x14ac:dyDescent="0.35">
      <c r="A822" s="2"/>
      <c r="B822" s="147"/>
      <c r="C822" s="32"/>
      <c r="F822" s="25"/>
      <c r="I822" s="32"/>
      <c r="L822" s="139"/>
      <c r="M822" s="133"/>
    </row>
    <row r="823" spans="1:13" ht="15.5" x14ac:dyDescent="0.35">
      <c r="A823" s="2"/>
      <c r="B823" s="147"/>
      <c r="C823" s="32"/>
      <c r="F823" s="25"/>
      <c r="I823" s="32"/>
      <c r="L823" s="139"/>
      <c r="M823" s="133"/>
    </row>
    <row r="824" spans="1:13" ht="15.5" x14ac:dyDescent="0.35">
      <c r="A824" s="2"/>
      <c r="B824" s="147"/>
      <c r="C824" s="32"/>
      <c r="F824" s="25"/>
      <c r="I824" s="32"/>
      <c r="L824" s="139"/>
      <c r="M824" s="133"/>
    </row>
    <row r="825" spans="1:13" ht="15.5" x14ac:dyDescent="0.35">
      <c r="A825" s="2"/>
      <c r="B825" s="147"/>
      <c r="C825" s="32"/>
      <c r="F825" s="25"/>
      <c r="I825" s="32"/>
      <c r="L825" s="139"/>
      <c r="M825" s="133"/>
    </row>
    <row r="826" spans="1:13" ht="15.5" x14ac:dyDescent="0.35">
      <c r="A826" s="2"/>
      <c r="B826" s="147"/>
      <c r="C826" s="32"/>
      <c r="F826" s="25"/>
      <c r="I826" s="32"/>
      <c r="L826" s="139"/>
      <c r="M826" s="133"/>
    </row>
    <row r="827" spans="1:13" ht="15.5" x14ac:dyDescent="0.35">
      <c r="A827" s="2"/>
      <c r="B827" s="147"/>
      <c r="C827" s="32"/>
      <c r="F827" s="25"/>
      <c r="I827" s="32"/>
      <c r="L827" s="139"/>
      <c r="M827" s="133"/>
    </row>
    <row r="828" spans="1:13" ht="15.5" x14ac:dyDescent="0.35">
      <c r="A828" s="2"/>
      <c r="B828" s="147"/>
      <c r="C828" s="32"/>
      <c r="F828" s="25"/>
      <c r="I828" s="32"/>
      <c r="L828" s="139"/>
      <c r="M828" s="133"/>
    </row>
    <row r="829" spans="1:13" ht="15.5" x14ac:dyDescent="0.35">
      <c r="A829" s="2"/>
      <c r="B829" s="147"/>
      <c r="C829" s="32"/>
      <c r="F829" s="25"/>
      <c r="I829" s="32"/>
      <c r="L829" s="139"/>
      <c r="M829" s="133"/>
    </row>
    <row r="830" spans="1:13" ht="15.5" x14ac:dyDescent="0.35">
      <c r="A830" s="2"/>
      <c r="B830" s="147"/>
      <c r="C830" s="32"/>
      <c r="F830" s="25"/>
      <c r="I830" s="32"/>
      <c r="L830" s="139"/>
      <c r="M830" s="133"/>
    </row>
    <row r="831" spans="1:13" ht="15.5" x14ac:dyDescent="0.35">
      <c r="A831" s="2"/>
      <c r="B831" s="147"/>
      <c r="C831" s="32"/>
      <c r="F831" s="25"/>
      <c r="I831" s="32"/>
      <c r="L831" s="139"/>
      <c r="M831" s="133"/>
    </row>
    <row r="832" spans="1:13" ht="15.5" x14ac:dyDescent="0.35">
      <c r="A832" s="2"/>
      <c r="B832" s="147"/>
      <c r="C832" s="32"/>
      <c r="F832" s="25"/>
      <c r="I832" s="32"/>
      <c r="L832" s="139"/>
      <c r="M832" s="133"/>
    </row>
    <row r="833" spans="1:13" ht="15.5" x14ac:dyDescent="0.35">
      <c r="A833" s="2"/>
      <c r="B833" s="147"/>
      <c r="C833" s="32"/>
      <c r="F833" s="25"/>
      <c r="I833" s="32"/>
      <c r="L833" s="139"/>
      <c r="M833" s="133"/>
    </row>
    <row r="834" spans="1:13" ht="15.5" x14ac:dyDescent="0.35">
      <c r="A834" s="2"/>
      <c r="B834" s="147"/>
      <c r="C834" s="32"/>
      <c r="F834" s="25"/>
      <c r="I834" s="32"/>
      <c r="L834" s="139"/>
      <c r="M834" s="133"/>
    </row>
    <row r="835" spans="1:13" ht="15.5" x14ac:dyDescent="0.35">
      <c r="A835" s="2"/>
      <c r="B835" s="147"/>
      <c r="C835" s="32"/>
      <c r="F835" s="25"/>
      <c r="I835" s="32"/>
      <c r="L835" s="139"/>
      <c r="M835" s="133"/>
    </row>
    <row r="836" spans="1:13" ht="15.5" x14ac:dyDescent="0.35">
      <c r="A836" s="2"/>
      <c r="B836" s="147"/>
      <c r="C836" s="32"/>
      <c r="F836" s="25"/>
      <c r="I836" s="32"/>
      <c r="L836" s="139"/>
      <c r="M836" s="133"/>
    </row>
    <row r="837" spans="1:13" ht="15.5" x14ac:dyDescent="0.35">
      <c r="A837" s="2"/>
      <c r="B837" s="147"/>
      <c r="C837" s="32"/>
      <c r="F837" s="25"/>
      <c r="I837" s="32"/>
      <c r="L837" s="139"/>
      <c r="M837" s="133"/>
    </row>
    <row r="838" spans="1:13" ht="15.5" x14ac:dyDescent="0.35">
      <c r="A838" s="2"/>
      <c r="B838" s="147"/>
      <c r="C838" s="32"/>
      <c r="F838" s="25"/>
      <c r="I838" s="32"/>
      <c r="L838" s="139"/>
      <c r="M838" s="133"/>
    </row>
    <row r="839" spans="1:13" ht="15.5" x14ac:dyDescent="0.35">
      <c r="A839" s="2"/>
      <c r="B839" s="147"/>
      <c r="C839" s="32"/>
      <c r="F839" s="25"/>
      <c r="I839" s="32"/>
      <c r="L839" s="139"/>
      <c r="M839" s="133"/>
    </row>
    <row r="840" spans="1:13" ht="15.5" x14ac:dyDescent="0.35">
      <c r="A840" s="2"/>
      <c r="B840" s="147"/>
      <c r="C840" s="32"/>
      <c r="F840" s="25"/>
      <c r="I840" s="32"/>
      <c r="L840" s="139"/>
      <c r="M840" s="133"/>
    </row>
    <row r="841" spans="1:13" ht="15.5" x14ac:dyDescent="0.35">
      <c r="A841" s="2"/>
      <c r="B841" s="147"/>
      <c r="C841" s="32"/>
      <c r="F841" s="25"/>
      <c r="I841" s="32"/>
      <c r="L841" s="139"/>
      <c r="M841" s="133"/>
    </row>
    <row r="842" spans="1:13" ht="15.5" x14ac:dyDescent="0.35">
      <c r="A842" s="2"/>
      <c r="B842" s="147"/>
      <c r="C842" s="32"/>
      <c r="F842" s="25"/>
      <c r="I842" s="32"/>
      <c r="L842" s="139"/>
      <c r="M842" s="133"/>
    </row>
    <row r="843" spans="1:13" ht="15.5" x14ac:dyDescent="0.35">
      <c r="A843" s="2"/>
      <c r="B843" s="147"/>
      <c r="C843" s="32"/>
      <c r="F843" s="25"/>
      <c r="I843" s="32"/>
      <c r="L843" s="139"/>
      <c r="M843" s="133"/>
    </row>
    <row r="844" spans="1:13" ht="15.5" x14ac:dyDescent="0.35">
      <c r="A844" s="2"/>
      <c r="B844" s="147"/>
      <c r="C844" s="32"/>
      <c r="F844" s="25"/>
      <c r="I844" s="32"/>
      <c r="L844" s="139"/>
      <c r="M844" s="133"/>
    </row>
    <row r="845" spans="1:13" ht="15.5" x14ac:dyDescent="0.35">
      <c r="A845" s="2"/>
      <c r="B845" s="147"/>
      <c r="C845" s="32"/>
      <c r="F845" s="25"/>
      <c r="I845" s="32"/>
      <c r="L845" s="139"/>
      <c r="M845" s="133"/>
    </row>
    <row r="846" spans="1:13" ht="15.5" x14ac:dyDescent="0.35">
      <c r="A846" s="2"/>
      <c r="B846" s="147"/>
      <c r="C846" s="32"/>
      <c r="F846" s="25"/>
      <c r="I846" s="32"/>
      <c r="L846" s="139"/>
      <c r="M846" s="133"/>
    </row>
    <row r="847" spans="1:13" ht="15.5" x14ac:dyDescent="0.35">
      <c r="A847" s="2"/>
      <c r="B847" s="147"/>
      <c r="C847" s="32"/>
      <c r="F847" s="25"/>
      <c r="I847" s="32"/>
      <c r="L847" s="139"/>
      <c r="M847" s="133"/>
    </row>
    <row r="848" spans="1:13" ht="15.5" x14ac:dyDescent="0.35">
      <c r="A848" s="2"/>
      <c r="B848" s="147"/>
      <c r="C848" s="32"/>
      <c r="F848" s="25"/>
      <c r="I848" s="32"/>
      <c r="L848" s="139"/>
      <c r="M848" s="133"/>
    </row>
    <row r="849" spans="1:13" ht="15.5" x14ac:dyDescent="0.35">
      <c r="A849" s="2"/>
      <c r="B849" s="147"/>
      <c r="C849" s="32"/>
      <c r="F849" s="25"/>
      <c r="I849" s="32"/>
      <c r="L849" s="139"/>
      <c r="M849" s="133"/>
    </row>
    <row r="850" spans="1:13" ht="15.5" x14ac:dyDescent="0.35">
      <c r="A850" s="2"/>
      <c r="B850" s="147"/>
      <c r="C850" s="32"/>
      <c r="F850" s="25"/>
      <c r="I850" s="32"/>
      <c r="L850" s="139"/>
      <c r="M850" s="133"/>
    </row>
    <row r="851" spans="1:13" ht="15.5" x14ac:dyDescent="0.35">
      <c r="A851" s="2"/>
      <c r="B851" s="147"/>
      <c r="C851" s="32"/>
      <c r="F851" s="25"/>
      <c r="I851" s="32"/>
      <c r="L851" s="139"/>
      <c r="M851" s="133"/>
    </row>
    <row r="852" spans="1:13" ht="15.5" x14ac:dyDescent="0.35">
      <c r="A852" s="2"/>
      <c r="B852" s="147"/>
      <c r="C852" s="32"/>
      <c r="F852" s="25"/>
      <c r="I852" s="32"/>
      <c r="L852" s="139"/>
      <c r="M852" s="133"/>
    </row>
    <row r="853" spans="1:13" ht="15.5" x14ac:dyDescent="0.35">
      <c r="A853" s="2"/>
      <c r="B853" s="147"/>
      <c r="C853" s="32"/>
      <c r="F853" s="25"/>
      <c r="I853" s="32"/>
      <c r="L853" s="139"/>
      <c r="M853" s="133"/>
    </row>
    <row r="854" spans="1:13" ht="15.5" x14ac:dyDescent="0.35">
      <c r="A854" s="2"/>
      <c r="B854" s="147"/>
      <c r="C854" s="32"/>
      <c r="F854" s="25"/>
      <c r="I854" s="32"/>
      <c r="L854" s="139"/>
      <c r="M854" s="133"/>
    </row>
    <row r="855" spans="1:13" ht="15.5" x14ac:dyDescent="0.35">
      <c r="A855" s="2"/>
      <c r="B855" s="147"/>
      <c r="C855" s="32"/>
      <c r="F855" s="25"/>
      <c r="I855" s="32"/>
      <c r="L855" s="139"/>
      <c r="M855" s="133"/>
    </row>
    <row r="856" spans="1:13" ht="15.5" x14ac:dyDescent="0.35">
      <c r="A856" s="2"/>
      <c r="B856" s="147"/>
      <c r="C856" s="32"/>
      <c r="F856" s="25"/>
      <c r="I856" s="32"/>
      <c r="L856" s="139"/>
      <c r="M856" s="133"/>
    </row>
    <row r="857" spans="1:13" ht="15.5" x14ac:dyDescent="0.35">
      <c r="A857" s="2"/>
      <c r="B857" s="147"/>
      <c r="C857" s="32"/>
      <c r="F857" s="25"/>
      <c r="I857" s="32"/>
      <c r="L857" s="139"/>
      <c r="M857" s="133"/>
    </row>
    <row r="858" spans="1:13" ht="15.5" x14ac:dyDescent="0.35">
      <c r="A858" s="2"/>
      <c r="B858" s="147"/>
      <c r="C858" s="32"/>
      <c r="F858" s="25"/>
      <c r="I858" s="32"/>
      <c r="L858" s="139"/>
      <c r="M858" s="133"/>
    </row>
    <row r="859" spans="1:13" ht="15.5" x14ac:dyDescent="0.35">
      <c r="A859" s="2"/>
      <c r="B859" s="147"/>
      <c r="C859" s="32"/>
      <c r="F859" s="25"/>
      <c r="I859" s="32"/>
      <c r="L859" s="139"/>
      <c r="M859" s="133"/>
    </row>
    <row r="860" spans="1:13" ht="15.5" x14ac:dyDescent="0.35">
      <c r="A860" s="2"/>
      <c r="B860" s="147"/>
      <c r="C860" s="32"/>
      <c r="F860" s="25"/>
      <c r="I860" s="32"/>
      <c r="L860" s="139"/>
      <c r="M860" s="133"/>
    </row>
    <row r="861" spans="1:13" ht="15.5" x14ac:dyDescent="0.35">
      <c r="A861" s="2"/>
      <c r="B861" s="147"/>
      <c r="C861" s="32"/>
      <c r="F861" s="25"/>
      <c r="I861" s="32"/>
      <c r="L861" s="139"/>
      <c r="M861" s="133"/>
    </row>
    <row r="862" spans="1:13" ht="15.5" x14ac:dyDescent="0.35">
      <c r="A862" s="2"/>
      <c r="B862" s="147"/>
      <c r="C862" s="32"/>
      <c r="F862" s="25"/>
      <c r="I862" s="32"/>
      <c r="L862" s="139"/>
      <c r="M862" s="133"/>
    </row>
    <row r="863" spans="1:13" ht="15.5" x14ac:dyDescent="0.35">
      <c r="A863" s="2"/>
      <c r="B863" s="147"/>
      <c r="C863" s="32"/>
      <c r="F863" s="25"/>
      <c r="I863" s="32"/>
      <c r="L863" s="139"/>
      <c r="M863" s="133"/>
    </row>
    <row r="864" spans="1:13" ht="15.5" x14ac:dyDescent="0.35">
      <c r="A864" s="2"/>
      <c r="C864" s="32"/>
      <c r="F864" s="25"/>
      <c r="I864" s="32"/>
      <c r="L864" s="139"/>
      <c r="M864" s="133"/>
    </row>
    <row r="865" spans="1:13" ht="15.5" x14ac:dyDescent="0.35">
      <c r="A865" s="2"/>
      <c r="C865" s="32"/>
      <c r="F865" s="25"/>
      <c r="I865" s="32"/>
      <c r="L865" s="139"/>
      <c r="M865" s="133"/>
    </row>
    <row r="866" spans="1:13" ht="15.5" x14ac:dyDescent="0.35">
      <c r="A866" s="2"/>
      <c r="B866" s="147"/>
      <c r="C866" s="32"/>
      <c r="F866" s="25"/>
      <c r="I866" s="32"/>
      <c r="L866" s="139"/>
      <c r="M866" s="133"/>
    </row>
    <row r="867" spans="1:13" ht="15.5" x14ac:dyDescent="0.35">
      <c r="A867" s="2"/>
      <c r="B867" s="147"/>
      <c r="C867" s="32"/>
      <c r="F867" s="25"/>
      <c r="I867" s="32"/>
      <c r="L867" s="139"/>
      <c r="M867" s="133"/>
    </row>
    <row r="868" spans="1:13" ht="15.5" x14ac:dyDescent="0.35">
      <c r="A868" s="2"/>
      <c r="B868" s="147"/>
      <c r="C868" s="32"/>
      <c r="F868" s="25"/>
      <c r="I868" s="32"/>
      <c r="L868" s="139"/>
      <c r="M868" s="133"/>
    </row>
    <row r="869" spans="1:13" ht="15.5" x14ac:dyDescent="0.35">
      <c r="A869" s="2"/>
      <c r="B869" s="147"/>
      <c r="C869" s="32"/>
      <c r="F869" s="25"/>
      <c r="I869" s="32"/>
      <c r="L869" s="139"/>
      <c r="M869" s="133"/>
    </row>
    <row r="870" spans="1:13" ht="15.5" x14ac:dyDescent="0.35">
      <c r="A870" s="2"/>
      <c r="B870" s="147"/>
      <c r="C870" s="32"/>
      <c r="F870" s="25"/>
      <c r="I870" s="32"/>
      <c r="L870" s="139"/>
      <c r="M870" s="133"/>
    </row>
    <row r="871" spans="1:13" ht="15.5" x14ac:dyDescent="0.35">
      <c r="A871" s="2"/>
      <c r="B871" s="147"/>
      <c r="C871" s="32"/>
      <c r="F871" s="25"/>
      <c r="I871" s="32"/>
      <c r="L871" s="139"/>
      <c r="M871" s="133"/>
    </row>
    <row r="872" spans="1:13" ht="15.5" x14ac:dyDescent="0.35">
      <c r="A872" s="2"/>
      <c r="B872" s="147"/>
      <c r="C872" s="32"/>
      <c r="F872" s="25"/>
      <c r="I872" s="32"/>
      <c r="L872" s="139"/>
      <c r="M872" s="133"/>
    </row>
    <row r="873" spans="1:13" ht="15.5" x14ac:dyDescent="0.35">
      <c r="A873" s="2"/>
      <c r="B873" s="147"/>
      <c r="C873" s="32"/>
      <c r="F873" s="25"/>
      <c r="I873" s="32"/>
      <c r="L873" s="139"/>
      <c r="M873" s="133"/>
    </row>
    <row r="874" spans="1:13" ht="15.5" x14ac:dyDescent="0.35">
      <c r="A874" s="2"/>
      <c r="B874" s="147"/>
      <c r="C874" s="32"/>
      <c r="F874" s="25"/>
      <c r="I874" s="32"/>
      <c r="L874" s="139"/>
      <c r="M874" s="133"/>
    </row>
    <row r="875" spans="1:13" ht="15.5" x14ac:dyDescent="0.35">
      <c r="A875" s="2"/>
      <c r="B875" s="147"/>
      <c r="C875" s="32"/>
      <c r="F875" s="25"/>
      <c r="I875" s="32"/>
      <c r="L875" s="139"/>
      <c r="M875" s="133"/>
    </row>
    <row r="876" spans="1:13" ht="15.5" x14ac:dyDescent="0.35">
      <c r="A876" s="2"/>
      <c r="B876" s="147"/>
      <c r="C876" s="32"/>
      <c r="F876" s="25"/>
      <c r="I876" s="32"/>
      <c r="L876" s="139"/>
      <c r="M876" s="133"/>
    </row>
    <row r="877" spans="1:13" ht="15.5" x14ac:dyDescent="0.35">
      <c r="A877" s="2"/>
      <c r="B877" s="147"/>
      <c r="C877" s="32"/>
      <c r="F877" s="25"/>
      <c r="I877" s="32"/>
      <c r="L877" s="139"/>
      <c r="M877" s="133"/>
    </row>
    <row r="878" spans="1:13" ht="15.5" x14ac:dyDescent="0.35">
      <c r="A878" s="2"/>
      <c r="B878" s="147"/>
      <c r="C878" s="32"/>
      <c r="F878" s="25"/>
      <c r="I878" s="32"/>
      <c r="L878" s="139"/>
      <c r="M878" s="133"/>
    </row>
    <row r="879" spans="1:13" ht="15.5" x14ac:dyDescent="0.35">
      <c r="A879" s="2"/>
      <c r="B879" s="147"/>
      <c r="C879" s="32"/>
      <c r="F879" s="25"/>
      <c r="I879" s="32"/>
      <c r="L879" s="139"/>
      <c r="M879" s="133"/>
    </row>
    <row r="880" spans="1:13" ht="15.5" x14ac:dyDescent="0.35">
      <c r="A880" s="2"/>
      <c r="B880" s="147"/>
      <c r="C880" s="32"/>
      <c r="F880" s="25"/>
      <c r="I880" s="32"/>
      <c r="L880" s="139"/>
      <c r="M880" s="133"/>
    </row>
    <row r="881" spans="1:13" ht="15.5" x14ac:dyDescent="0.35">
      <c r="A881" s="2"/>
      <c r="B881" s="147"/>
      <c r="C881" s="32"/>
      <c r="F881" s="25"/>
      <c r="I881" s="32"/>
      <c r="L881" s="139"/>
      <c r="M881" s="133"/>
    </row>
    <row r="882" spans="1:13" ht="15.5" x14ac:dyDescent="0.35">
      <c r="A882" s="2"/>
      <c r="B882" s="147"/>
      <c r="C882" s="32"/>
      <c r="F882" s="25"/>
      <c r="I882" s="32"/>
      <c r="L882" s="139"/>
      <c r="M882" s="133"/>
    </row>
    <row r="883" spans="1:13" ht="15.5" x14ac:dyDescent="0.35">
      <c r="A883" s="2"/>
      <c r="B883" s="147"/>
      <c r="C883" s="32"/>
      <c r="F883" s="25"/>
      <c r="I883" s="32"/>
      <c r="L883" s="139"/>
      <c r="M883" s="133"/>
    </row>
    <row r="884" spans="1:13" ht="15.5" x14ac:dyDescent="0.35">
      <c r="A884" s="2"/>
      <c r="B884" s="147"/>
      <c r="C884" s="32"/>
      <c r="F884" s="25"/>
      <c r="I884" s="32"/>
      <c r="L884" s="139"/>
      <c r="M884" s="133"/>
    </row>
    <row r="885" spans="1:13" ht="15.5" x14ac:dyDescent="0.35">
      <c r="A885" s="2"/>
      <c r="B885" s="147"/>
      <c r="C885" s="32"/>
      <c r="F885" s="25"/>
      <c r="I885" s="32"/>
      <c r="L885" s="139"/>
      <c r="M885" s="133"/>
    </row>
    <row r="886" spans="1:13" ht="15.5" x14ac:dyDescent="0.35">
      <c r="A886" s="2"/>
      <c r="B886" s="147"/>
      <c r="C886" s="32"/>
      <c r="F886" s="25"/>
      <c r="I886" s="32"/>
      <c r="L886" s="139"/>
      <c r="M886" s="133"/>
    </row>
    <row r="887" spans="1:13" ht="15.5" x14ac:dyDescent="0.35">
      <c r="A887" s="2"/>
      <c r="B887" s="147"/>
      <c r="C887" s="32"/>
      <c r="F887" s="25"/>
      <c r="I887" s="32"/>
      <c r="L887" s="139"/>
      <c r="M887" s="133"/>
    </row>
    <row r="888" spans="1:13" ht="15.5" x14ac:dyDescent="0.35">
      <c r="A888" s="2"/>
      <c r="B888" s="147"/>
      <c r="C888" s="32"/>
      <c r="F888" s="25"/>
      <c r="I888" s="32"/>
      <c r="L888" s="139"/>
      <c r="M888" s="133"/>
    </row>
    <row r="889" spans="1:13" ht="15.5" x14ac:dyDescent="0.35">
      <c r="A889" s="2"/>
      <c r="B889" s="147"/>
      <c r="C889" s="32"/>
      <c r="F889" s="25"/>
      <c r="I889" s="32"/>
      <c r="L889" s="139"/>
      <c r="M889" s="133"/>
    </row>
    <row r="890" spans="1:13" ht="15.5" x14ac:dyDescent="0.35">
      <c r="A890" s="2"/>
      <c r="B890" s="147"/>
      <c r="C890" s="32"/>
      <c r="F890" s="25"/>
      <c r="I890" s="32"/>
      <c r="L890" s="139"/>
      <c r="M890" s="133"/>
    </row>
    <row r="891" spans="1:13" ht="15.5" x14ac:dyDescent="0.35">
      <c r="A891" s="2"/>
      <c r="B891" s="147"/>
      <c r="C891" s="32"/>
      <c r="F891" s="25"/>
      <c r="I891" s="32"/>
      <c r="L891" s="139"/>
      <c r="M891" s="133"/>
    </row>
    <row r="892" spans="1:13" ht="15.5" x14ac:dyDescent="0.35">
      <c r="A892" s="2"/>
      <c r="B892" s="147"/>
      <c r="C892" s="32"/>
      <c r="F892" s="25"/>
      <c r="I892" s="32"/>
      <c r="L892" s="139"/>
      <c r="M892" s="133"/>
    </row>
    <row r="893" spans="1:13" ht="15.5" x14ac:dyDescent="0.35">
      <c r="A893" s="2"/>
      <c r="B893" s="147"/>
      <c r="C893" s="32"/>
      <c r="F893" s="25"/>
      <c r="I893" s="32"/>
      <c r="L893" s="139"/>
      <c r="M893" s="133"/>
    </row>
    <row r="894" spans="1:13" ht="15.5" x14ac:dyDescent="0.35">
      <c r="A894" s="2"/>
      <c r="B894" s="147"/>
      <c r="C894" s="32"/>
      <c r="F894" s="25"/>
      <c r="I894" s="32"/>
      <c r="L894" s="139"/>
      <c r="M894" s="133"/>
    </row>
    <row r="895" spans="1:13" ht="15.5" x14ac:dyDescent="0.35">
      <c r="A895" s="2"/>
      <c r="B895" s="147"/>
      <c r="C895" s="32"/>
      <c r="F895" s="25"/>
      <c r="I895" s="32"/>
      <c r="L895" s="139"/>
      <c r="M895" s="133"/>
    </row>
    <row r="896" spans="1:13" ht="15.5" x14ac:dyDescent="0.35">
      <c r="A896" s="2"/>
      <c r="B896" s="147"/>
      <c r="C896" s="32"/>
      <c r="F896" s="25"/>
      <c r="I896" s="32"/>
      <c r="L896" s="139"/>
      <c r="M896" s="133"/>
    </row>
    <row r="897" spans="1:13" ht="15.5" x14ac:dyDescent="0.35">
      <c r="A897" s="2"/>
      <c r="B897" s="147"/>
      <c r="C897" s="32"/>
      <c r="F897" s="25"/>
      <c r="I897" s="32"/>
      <c r="L897" s="139"/>
      <c r="M897" s="133"/>
    </row>
    <row r="898" spans="1:13" ht="15.5" x14ac:dyDescent="0.35">
      <c r="A898" s="2"/>
      <c r="B898" s="147"/>
      <c r="C898" s="32"/>
      <c r="F898" s="25"/>
      <c r="I898" s="32"/>
      <c r="L898" s="139"/>
      <c r="M898" s="133"/>
    </row>
    <row r="899" spans="1:13" ht="15.5" x14ac:dyDescent="0.35">
      <c r="A899" s="2"/>
      <c r="B899" s="147"/>
      <c r="C899" s="32"/>
      <c r="F899" s="25"/>
      <c r="I899" s="32"/>
      <c r="L899" s="139"/>
      <c r="M899" s="133"/>
    </row>
    <row r="900" spans="1:13" ht="15.5" x14ac:dyDescent="0.35">
      <c r="A900" s="2"/>
      <c r="B900" s="147"/>
      <c r="C900" s="32"/>
      <c r="F900" s="25"/>
      <c r="I900" s="32"/>
      <c r="L900" s="139"/>
      <c r="M900" s="133"/>
    </row>
    <row r="901" spans="1:13" ht="15.5" x14ac:dyDescent="0.35">
      <c r="A901" s="2"/>
      <c r="B901" s="147"/>
      <c r="C901" s="32"/>
      <c r="F901" s="25"/>
      <c r="I901" s="32"/>
      <c r="L901" s="139"/>
      <c r="M901" s="133"/>
    </row>
    <row r="902" spans="1:13" ht="15.5" x14ac:dyDescent="0.35">
      <c r="A902" s="2"/>
      <c r="B902" s="147"/>
      <c r="C902" s="32"/>
      <c r="F902" s="25"/>
      <c r="I902" s="32"/>
      <c r="L902" s="139"/>
      <c r="M902" s="133"/>
    </row>
    <row r="903" spans="1:13" ht="15.5" x14ac:dyDescent="0.35">
      <c r="A903" s="2"/>
      <c r="B903" s="147"/>
      <c r="C903" s="32"/>
      <c r="F903" s="25"/>
      <c r="I903" s="32"/>
      <c r="L903" s="139"/>
      <c r="M903" s="133"/>
    </row>
    <row r="904" spans="1:13" ht="15.5" x14ac:dyDescent="0.35">
      <c r="A904" s="2"/>
      <c r="B904" s="147"/>
      <c r="C904" s="32"/>
      <c r="F904" s="25"/>
      <c r="I904" s="32"/>
      <c r="L904" s="139"/>
      <c r="M904" s="133"/>
    </row>
    <row r="905" spans="1:13" ht="15.5" x14ac:dyDescent="0.35">
      <c r="A905" s="2"/>
      <c r="B905" s="147"/>
      <c r="C905" s="32"/>
      <c r="F905" s="25"/>
      <c r="I905" s="32"/>
      <c r="L905" s="139"/>
      <c r="M905" s="133"/>
    </row>
    <row r="906" spans="1:13" ht="15.5" x14ac:dyDescent="0.35">
      <c r="A906" s="2"/>
      <c r="B906" s="147"/>
      <c r="C906" s="32"/>
      <c r="F906" s="25"/>
      <c r="I906" s="32"/>
      <c r="L906" s="139"/>
      <c r="M906" s="133"/>
    </row>
    <row r="907" spans="1:13" ht="15.5" x14ac:dyDescent="0.35">
      <c r="A907" s="2"/>
      <c r="B907" s="147"/>
      <c r="C907" s="32"/>
      <c r="F907" s="25"/>
      <c r="I907" s="32"/>
      <c r="L907" s="139"/>
      <c r="M907" s="133"/>
    </row>
    <row r="908" spans="1:13" ht="15.5" x14ac:dyDescent="0.35">
      <c r="A908" s="2"/>
      <c r="B908" s="147"/>
      <c r="C908" s="32"/>
      <c r="F908" s="25"/>
      <c r="I908" s="32"/>
      <c r="L908" s="139"/>
      <c r="M908" s="133"/>
    </row>
    <row r="909" spans="1:13" ht="15.5" x14ac:dyDescent="0.35">
      <c r="A909" s="2"/>
      <c r="B909" s="147"/>
      <c r="C909" s="32"/>
      <c r="F909" s="25"/>
      <c r="I909" s="32"/>
      <c r="L909" s="139"/>
      <c r="M909" s="133"/>
    </row>
    <row r="910" spans="1:13" ht="15.5" x14ac:dyDescent="0.35">
      <c r="A910" s="2"/>
      <c r="B910" s="147"/>
      <c r="C910" s="32"/>
      <c r="F910" s="25"/>
      <c r="I910" s="32"/>
      <c r="L910" s="139"/>
      <c r="M910" s="133"/>
    </row>
    <row r="911" spans="1:13" ht="15.5" x14ac:dyDescent="0.35">
      <c r="A911" s="2"/>
      <c r="B911" s="147"/>
      <c r="C911" s="32"/>
      <c r="F911" s="25"/>
      <c r="I911" s="32"/>
      <c r="L911" s="139"/>
      <c r="M911" s="133"/>
    </row>
    <row r="912" spans="1:13" ht="15.5" x14ac:dyDescent="0.35">
      <c r="A912" s="2"/>
      <c r="B912" s="147"/>
      <c r="C912" s="32"/>
      <c r="F912" s="25"/>
      <c r="I912" s="32"/>
      <c r="L912" s="139"/>
      <c r="M912" s="133"/>
    </row>
    <row r="913" spans="1:13" ht="15.5" x14ac:dyDescent="0.35">
      <c r="A913" s="2"/>
      <c r="B913" s="147"/>
      <c r="C913" s="32"/>
      <c r="F913" s="25"/>
      <c r="I913" s="32"/>
      <c r="L913" s="139"/>
      <c r="M913" s="133"/>
    </row>
    <row r="914" spans="1:13" ht="15.5" x14ac:dyDescent="0.35">
      <c r="A914" s="2"/>
      <c r="B914" s="147"/>
      <c r="C914" s="32"/>
      <c r="F914" s="25"/>
      <c r="I914" s="32"/>
      <c r="L914" s="139"/>
      <c r="M914" s="133"/>
    </row>
    <row r="915" spans="1:13" ht="15.5" x14ac:dyDescent="0.35">
      <c r="A915" s="2"/>
      <c r="B915" s="147"/>
      <c r="C915" s="32"/>
      <c r="F915" s="25"/>
      <c r="I915" s="32"/>
      <c r="L915" s="139"/>
      <c r="M915" s="133"/>
    </row>
    <row r="916" spans="1:13" ht="15.5" x14ac:dyDescent="0.35">
      <c r="A916" s="2"/>
      <c r="B916" s="147"/>
      <c r="C916" s="32"/>
      <c r="F916" s="25"/>
      <c r="I916" s="32"/>
      <c r="L916" s="139"/>
      <c r="M916" s="133"/>
    </row>
    <row r="917" spans="1:13" ht="15.5" x14ac:dyDescent="0.35">
      <c r="A917" s="2"/>
      <c r="B917" s="147"/>
      <c r="C917" s="32"/>
      <c r="F917" s="25"/>
      <c r="I917" s="32"/>
      <c r="L917" s="139"/>
      <c r="M917" s="133"/>
    </row>
    <row r="918" spans="1:13" ht="15.5" x14ac:dyDescent="0.35">
      <c r="A918" s="2"/>
      <c r="B918" s="147"/>
      <c r="C918" s="32"/>
      <c r="F918" s="25"/>
      <c r="I918" s="32"/>
      <c r="L918" s="139"/>
      <c r="M918" s="133"/>
    </row>
    <row r="919" spans="1:13" ht="15.5" x14ac:dyDescent="0.35">
      <c r="A919" s="2"/>
      <c r="B919" s="147"/>
      <c r="C919" s="32"/>
      <c r="F919" s="25"/>
      <c r="I919" s="32"/>
      <c r="L919" s="139"/>
      <c r="M919" s="133"/>
    </row>
    <row r="920" spans="1:13" ht="15.5" x14ac:dyDescent="0.35">
      <c r="A920" s="2"/>
      <c r="B920" s="147"/>
      <c r="C920" s="32"/>
      <c r="F920" s="25"/>
      <c r="I920" s="32"/>
      <c r="L920" s="139"/>
      <c r="M920" s="133"/>
    </row>
    <row r="921" spans="1:13" ht="15.5" x14ac:dyDescent="0.35">
      <c r="A921" s="2"/>
      <c r="B921" s="147"/>
      <c r="C921" s="32"/>
      <c r="F921" s="25"/>
      <c r="I921" s="32"/>
      <c r="L921" s="139"/>
      <c r="M921" s="133"/>
    </row>
    <row r="922" spans="1:13" ht="15.5" x14ac:dyDescent="0.35">
      <c r="A922" s="2"/>
      <c r="B922" s="147"/>
      <c r="C922" s="32"/>
      <c r="F922" s="25"/>
      <c r="I922" s="32"/>
      <c r="L922" s="139"/>
      <c r="M922" s="133"/>
    </row>
    <row r="923" spans="1:13" ht="15.5" x14ac:dyDescent="0.35">
      <c r="A923" s="2"/>
      <c r="B923" s="147"/>
      <c r="C923" s="32"/>
      <c r="F923" s="25"/>
      <c r="I923" s="32"/>
      <c r="L923" s="139"/>
      <c r="M923" s="133"/>
    </row>
    <row r="924" spans="1:13" ht="15.5" x14ac:dyDescent="0.35">
      <c r="A924" s="2"/>
      <c r="B924" s="147"/>
      <c r="C924" s="32"/>
      <c r="F924" s="25"/>
      <c r="I924" s="32"/>
      <c r="L924" s="139"/>
      <c r="M924" s="133"/>
    </row>
    <row r="925" spans="1:13" ht="15.5" x14ac:dyDescent="0.35">
      <c r="A925" s="2"/>
      <c r="B925" s="147"/>
      <c r="C925" s="32"/>
      <c r="F925" s="25"/>
      <c r="I925" s="32"/>
      <c r="L925" s="139"/>
      <c r="M925" s="133"/>
    </row>
    <row r="926" spans="1:13" ht="15.5" x14ac:dyDescent="0.35">
      <c r="A926" s="2"/>
      <c r="B926" s="147"/>
      <c r="C926" s="32"/>
      <c r="F926" s="25"/>
      <c r="I926" s="32"/>
      <c r="L926" s="139"/>
      <c r="M926" s="133"/>
    </row>
    <row r="927" spans="1:13" ht="15.5" x14ac:dyDescent="0.35">
      <c r="A927" s="2"/>
      <c r="B927" s="147"/>
      <c r="C927" s="32"/>
      <c r="F927" s="25"/>
      <c r="I927" s="32"/>
      <c r="L927" s="139"/>
      <c r="M927" s="133"/>
    </row>
    <row r="928" spans="1:13" ht="15.5" x14ac:dyDescent="0.35">
      <c r="A928" s="2"/>
      <c r="B928" s="147"/>
      <c r="C928" s="32"/>
      <c r="F928" s="25"/>
      <c r="I928" s="32"/>
      <c r="L928" s="139"/>
      <c r="M928" s="133"/>
    </row>
    <row r="929" spans="1:13" ht="15.5" x14ac:dyDescent="0.35">
      <c r="A929" s="2"/>
      <c r="B929" s="147"/>
      <c r="C929" s="32"/>
      <c r="F929" s="25"/>
      <c r="I929" s="32"/>
      <c r="L929" s="139"/>
      <c r="M929" s="133"/>
    </row>
    <row r="930" spans="1:13" ht="15.5" x14ac:dyDescent="0.35">
      <c r="A930" s="2"/>
      <c r="B930" s="147"/>
      <c r="C930" s="32"/>
      <c r="F930" s="25"/>
      <c r="I930" s="32"/>
      <c r="L930" s="139"/>
      <c r="M930" s="133"/>
    </row>
    <row r="931" spans="1:13" ht="15.5" x14ac:dyDescent="0.35">
      <c r="A931" s="2"/>
      <c r="B931" s="147"/>
      <c r="C931" s="32"/>
      <c r="F931" s="25"/>
      <c r="I931" s="32"/>
      <c r="L931" s="139"/>
      <c r="M931" s="133"/>
    </row>
    <row r="932" spans="1:13" ht="15.5" x14ac:dyDescent="0.35">
      <c r="A932" s="2"/>
      <c r="B932" s="147"/>
      <c r="C932" s="32"/>
      <c r="F932" s="25"/>
      <c r="I932" s="32"/>
      <c r="L932" s="139"/>
      <c r="M932" s="133"/>
    </row>
    <row r="933" spans="1:13" ht="15.5" x14ac:dyDescent="0.35">
      <c r="A933" s="2"/>
      <c r="B933" s="147"/>
      <c r="C933" s="32"/>
      <c r="F933" s="25"/>
      <c r="I933" s="32"/>
      <c r="L933" s="139"/>
      <c r="M933" s="133"/>
    </row>
    <row r="934" spans="1:13" ht="15.5" x14ac:dyDescent="0.35">
      <c r="A934" s="2"/>
      <c r="B934" s="147"/>
      <c r="C934" s="32"/>
      <c r="F934" s="25"/>
      <c r="I934" s="32"/>
      <c r="L934" s="139"/>
      <c r="M934" s="133"/>
    </row>
    <row r="935" spans="1:13" ht="15.5" x14ac:dyDescent="0.35">
      <c r="A935" s="2"/>
      <c r="B935" s="147"/>
      <c r="C935" s="32"/>
      <c r="F935" s="25"/>
      <c r="I935" s="32"/>
      <c r="L935" s="139"/>
      <c r="M935" s="133"/>
    </row>
    <row r="936" spans="1:13" ht="15.5" x14ac:dyDescent="0.35">
      <c r="A936" s="2"/>
      <c r="B936" s="147"/>
      <c r="C936" s="32"/>
      <c r="F936" s="25"/>
      <c r="I936" s="32"/>
      <c r="L936" s="139"/>
      <c r="M936" s="133"/>
    </row>
    <row r="937" spans="1:13" ht="15.5" x14ac:dyDescent="0.35">
      <c r="A937" s="2"/>
      <c r="B937" s="147"/>
      <c r="C937" s="32"/>
      <c r="F937" s="25"/>
      <c r="I937" s="32"/>
      <c r="L937" s="139"/>
      <c r="M937" s="133"/>
    </row>
    <row r="938" spans="1:13" ht="15.5" x14ac:dyDescent="0.35">
      <c r="A938" s="2"/>
      <c r="B938" s="147"/>
      <c r="C938" s="32"/>
      <c r="F938" s="25"/>
      <c r="I938" s="32"/>
      <c r="L938" s="139"/>
      <c r="M938" s="133"/>
    </row>
    <row r="939" spans="1:13" ht="15.5" x14ac:dyDescent="0.35">
      <c r="A939" s="2"/>
      <c r="B939" s="147"/>
      <c r="C939" s="32"/>
      <c r="F939" s="25"/>
      <c r="I939" s="32"/>
      <c r="L939" s="139"/>
      <c r="M939" s="133"/>
    </row>
    <row r="940" spans="1:13" ht="15.5" x14ac:dyDescent="0.35">
      <c r="A940" s="2"/>
      <c r="B940" s="147"/>
      <c r="C940" s="32"/>
      <c r="F940" s="25"/>
      <c r="I940" s="32"/>
      <c r="L940" s="139"/>
      <c r="M940" s="133"/>
    </row>
    <row r="941" spans="1:13" ht="15.5" x14ac:dyDescent="0.35">
      <c r="A941" s="2"/>
      <c r="B941" s="147"/>
      <c r="C941" s="32"/>
      <c r="F941" s="25"/>
      <c r="I941" s="32"/>
      <c r="L941" s="139"/>
      <c r="M941" s="133"/>
    </row>
    <row r="942" spans="1:13" ht="15.5" x14ac:dyDescent="0.35">
      <c r="A942" s="2"/>
      <c r="B942" s="147"/>
      <c r="C942" s="32"/>
      <c r="F942" s="25"/>
      <c r="I942" s="32"/>
      <c r="L942" s="139"/>
      <c r="M942" s="133"/>
    </row>
    <row r="943" spans="1:13" ht="15.5" x14ac:dyDescent="0.35">
      <c r="A943" s="2"/>
      <c r="B943" s="147"/>
      <c r="C943" s="32"/>
      <c r="F943" s="25"/>
      <c r="I943" s="32"/>
      <c r="L943" s="139"/>
      <c r="M943" s="133"/>
    </row>
    <row r="944" spans="1:13" ht="15.5" x14ac:dyDescent="0.35">
      <c r="A944" s="2"/>
      <c r="B944" s="147"/>
      <c r="C944" s="32"/>
      <c r="F944" s="25"/>
      <c r="I944" s="32"/>
      <c r="L944" s="139"/>
      <c r="M944" s="133"/>
    </row>
    <row r="945" spans="1:13" ht="15.5" x14ac:dyDescent="0.35">
      <c r="A945" s="2"/>
      <c r="B945" s="147"/>
      <c r="C945" s="32"/>
      <c r="F945" s="25"/>
      <c r="I945" s="32"/>
      <c r="L945" s="139"/>
      <c r="M945" s="133"/>
    </row>
    <row r="946" spans="1:13" ht="15.5" x14ac:dyDescent="0.35">
      <c r="A946" s="2"/>
      <c r="B946" s="147"/>
      <c r="C946" s="32"/>
      <c r="F946" s="25"/>
      <c r="I946" s="32"/>
      <c r="L946" s="139"/>
      <c r="M946" s="133"/>
    </row>
    <row r="947" spans="1:13" ht="15.5" x14ac:dyDescent="0.35">
      <c r="A947" s="2"/>
      <c r="B947" s="147"/>
      <c r="C947" s="32"/>
      <c r="F947" s="25"/>
      <c r="I947" s="32"/>
      <c r="L947" s="139"/>
      <c r="M947" s="133"/>
    </row>
    <row r="948" spans="1:13" ht="15.5" x14ac:dyDescent="0.35">
      <c r="A948" s="2"/>
      <c r="B948" s="147"/>
      <c r="C948" s="32"/>
      <c r="F948" s="25"/>
      <c r="I948" s="32"/>
      <c r="L948" s="139"/>
      <c r="M948" s="133"/>
    </row>
    <row r="949" spans="1:13" ht="15.5" x14ac:dyDescent="0.35">
      <c r="A949" s="2"/>
      <c r="B949" s="147"/>
      <c r="C949" s="32"/>
      <c r="F949" s="25"/>
      <c r="I949" s="32"/>
      <c r="L949" s="139"/>
      <c r="M949" s="133"/>
    </row>
    <row r="950" spans="1:13" ht="15.5" x14ac:dyDescent="0.35">
      <c r="A950" s="2"/>
      <c r="B950" s="147"/>
      <c r="C950" s="32"/>
      <c r="F950" s="25"/>
      <c r="I950" s="32"/>
      <c r="L950" s="139"/>
      <c r="M950" s="133"/>
    </row>
    <row r="951" spans="1:13" ht="15.5" x14ac:dyDescent="0.35">
      <c r="A951" s="2"/>
      <c r="B951" s="147"/>
      <c r="C951" s="32"/>
      <c r="F951" s="25"/>
      <c r="I951" s="32"/>
      <c r="L951" s="139"/>
      <c r="M951" s="133"/>
    </row>
    <row r="952" spans="1:13" ht="15.5" x14ac:dyDescent="0.35">
      <c r="A952" s="2"/>
      <c r="B952" s="147"/>
      <c r="C952" s="32"/>
      <c r="F952" s="25"/>
      <c r="I952" s="32"/>
      <c r="L952" s="139"/>
      <c r="M952" s="133"/>
    </row>
    <row r="953" spans="1:13" ht="15.5" x14ac:dyDescent="0.35">
      <c r="A953" s="2"/>
      <c r="B953" s="147"/>
      <c r="C953" s="32"/>
      <c r="F953" s="25"/>
      <c r="I953" s="32"/>
      <c r="L953" s="139"/>
      <c r="M953" s="133"/>
    </row>
    <row r="954" spans="1:13" ht="15.5" x14ac:dyDescent="0.35">
      <c r="A954" s="2"/>
      <c r="B954" s="147"/>
      <c r="C954" s="32"/>
      <c r="F954" s="25"/>
      <c r="I954" s="32"/>
      <c r="L954" s="139"/>
      <c r="M954" s="133"/>
    </row>
    <row r="955" spans="1:13" ht="15.5" x14ac:dyDescent="0.35">
      <c r="A955" s="2"/>
      <c r="B955" s="147"/>
      <c r="C955" s="32"/>
      <c r="F955" s="25"/>
      <c r="I955" s="32"/>
      <c r="L955" s="139"/>
      <c r="M955" s="133"/>
    </row>
    <row r="956" spans="1:13" ht="15.5" x14ac:dyDescent="0.35">
      <c r="A956" s="2"/>
      <c r="B956" s="147"/>
      <c r="C956" s="32"/>
      <c r="F956" s="25"/>
      <c r="I956" s="32"/>
      <c r="L956" s="139"/>
      <c r="M956" s="133"/>
    </row>
    <row r="957" spans="1:13" ht="15.5" x14ac:dyDescent="0.35">
      <c r="A957" s="2"/>
      <c r="B957" s="147"/>
      <c r="C957" s="32"/>
      <c r="F957" s="25"/>
      <c r="I957" s="32"/>
      <c r="L957" s="139"/>
      <c r="M957" s="133"/>
    </row>
    <row r="958" spans="1:13" ht="15.5" x14ac:dyDescent="0.35">
      <c r="A958" s="2"/>
      <c r="B958" s="147"/>
      <c r="C958" s="32"/>
      <c r="F958" s="25"/>
      <c r="I958" s="32"/>
      <c r="L958" s="139"/>
      <c r="M958" s="133"/>
    </row>
    <row r="959" spans="1:13" ht="15.5" x14ac:dyDescent="0.35">
      <c r="A959" s="2"/>
      <c r="B959" s="147"/>
      <c r="C959" s="32"/>
      <c r="F959" s="25"/>
      <c r="I959" s="32"/>
      <c r="L959" s="139"/>
      <c r="M959" s="133"/>
    </row>
    <row r="960" spans="1:13" ht="15.5" x14ac:dyDescent="0.35">
      <c r="A960" s="2"/>
      <c r="B960" s="147"/>
      <c r="C960" s="32"/>
      <c r="F960" s="25"/>
      <c r="I960" s="32"/>
      <c r="L960" s="139"/>
      <c r="M960" s="133"/>
    </row>
    <row r="961" spans="1:13" ht="15.5" x14ac:dyDescent="0.35">
      <c r="A961" s="2"/>
      <c r="B961" s="147"/>
      <c r="C961" s="32"/>
      <c r="F961" s="25"/>
      <c r="I961" s="32"/>
      <c r="L961" s="139"/>
      <c r="M961" s="133"/>
    </row>
    <row r="962" spans="1:13" ht="15.5" x14ac:dyDescent="0.35">
      <c r="A962" s="2"/>
      <c r="B962" s="147"/>
      <c r="C962" s="32"/>
      <c r="F962" s="25"/>
      <c r="I962" s="32"/>
      <c r="L962" s="139"/>
      <c r="M962" s="133"/>
    </row>
    <row r="963" spans="1:13" ht="15.5" x14ac:dyDescent="0.35">
      <c r="A963" s="2"/>
      <c r="B963" s="147"/>
      <c r="C963" s="32"/>
      <c r="F963" s="25"/>
      <c r="I963" s="32"/>
      <c r="L963" s="139"/>
      <c r="M963" s="133"/>
    </row>
    <row r="964" spans="1:13" ht="15.5" x14ac:dyDescent="0.35">
      <c r="A964" s="2"/>
      <c r="B964" s="147"/>
      <c r="C964" s="32"/>
      <c r="F964" s="25"/>
      <c r="I964" s="32"/>
      <c r="L964" s="139"/>
      <c r="M964" s="133"/>
    </row>
    <row r="965" spans="1:13" ht="15.5" x14ac:dyDescent="0.35">
      <c r="A965" s="2"/>
      <c r="B965" s="147"/>
      <c r="C965" s="32"/>
      <c r="F965" s="25"/>
      <c r="I965" s="32"/>
      <c r="L965" s="139"/>
      <c r="M965" s="133"/>
    </row>
    <row r="966" spans="1:13" ht="15.5" x14ac:dyDescent="0.35">
      <c r="A966" s="2"/>
      <c r="B966" s="147"/>
      <c r="C966" s="32"/>
      <c r="F966" s="25"/>
      <c r="I966" s="32"/>
      <c r="L966" s="139"/>
      <c r="M966" s="133"/>
    </row>
    <row r="967" spans="1:13" ht="15.5" x14ac:dyDescent="0.35">
      <c r="A967" s="2"/>
      <c r="B967" s="147"/>
      <c r="C967" s="32"/>
      <c r="F967" s="25"/>
      <c r="I967" s="32"/>
      <c r="L967" s="139"/>
      <c r="M967" s="133"/>
    </row>
    <row r="968" spans="1:13" ht="15.5" x14ac:dyDescent="0.35">
      <c r="A968" s="2"/>
      <c r="B968" s="147"/>
      <c r="C968" s="32"/>
      <c r="F968" s="25"/>
      <c r="I968" s="32"/>
      <c r="L968" s="139"/>
      <c r="M968" s="133"/>
    </row>
    <row r="969" spans="1:13" ht="15.5" x14ac:dyDescent="0.35">
      <c r="A969" s="2"/>
      <c r="B969" s="147"/>
      <c r="C969" s="32"/>
      <c r="F969" s="25"/>
      <c r="I969" s="32"/>
      <c r="L969" s="139"/>
      <c r="M969" s="133"/>
    </row>
    <row r="970" spans="1:13" ht="15.5" x14ac:dyDescent="0.35">
      <c r="A970" s="2"/>
      <c r="B970" s="147"/>
      <c r="C970" s="32"/>
      <c r="F970" s="25"/>
      <c r="I970" s="32"/>
      <c r="L970" s="139"/>
      <c r="M970" s="133"/>
    </row>
    <row r="971" spans="1:13" ht="15.5" x14ac:dyDescent="0.35">
      <c r="A971" s="2"/>
      <c r="B971" s="147"/>
      <c r="C971" s="32"/>
      <c r="F971" s="25"/>
      <c r="I971" s="32"/>
      <c r="L971" s="139"/>
      <c r="M971" s="133"/>
    </row>
    <row r="972" spans="1:13" ht="15.5" x14ac:dyDescent="0.35">
      <c r="A972" s="2"/>
      <c r="B972" s="147"/>
      <c r="C972" s="32"/>
      <c r="F972" s="25"/>
      <c r="I972" s="32"/>
      <c r="L972" s="139"/>
      <c r="M972" s="133"/>
    </row>
    <row r="973" spans="1:13" ht="15.5" x14ac:dyDescent="0.35">
      <c r="A973" s="2"/>
      <c r="B973" s="147"/>
      <c r="C973" s="32"/>
      <c r="F973" s="25"/>
      <c r="I973" s="32"/>
      <c r="L973" s="139"/>
      <c r="M973" s="133"/>
    </row>
    <row r="974" spans="1:13" ht="15.5" x14ac:dyDescent="0.35">
      <c r="A974" s="2"/>
      <c r="B974" s="147"/>
      <c r="C974" s="32"/>
      <c r="F974" s="25"/>
      <c r="I974" s="32"/>
      <c r="L974" s="139"/>
      <c r="M974" s="133"/>
    </row>
    <row r="975" spans="1:13" ht="15.5" x14ac:dyDescent="0.35">
      <c r="A975" s="2"/>
      <c r="B975" s="147"/>
      <c r="C975" s="32"/>
      <c r="F975" s="25"/>
      <c r="I975" s="32"/>
      <c r="L975" s="139"/>
      <c r="M975" s="133"/>
    </row>
    <row r="976" spans="1:13" ht="15.5" x14ac:dyDescent="0.35">
      <c r="A976" s="2"/>
      <c r="B976" s="147"/>
      <c r="C976" s="32"/>
      <c r="F976" s="25"/>
      <c r="I976" s="32"/>
      <c r="L976" s="139"/>
      <c r="M976" s="133"/>
    </row>
    <row r="977" spans="1:13" ht="15.5" x14ac:dyDescent="0.35">
      <c r="A977" s="2"/>
      <c r="B977" s="147"/>
      <c r="C977" s="32"/>
      <c r="F977" s="25"/>
      <c r="I977" s="32"/>
      <c r="L977" s="139"/>
      <c r="M977" s="133"/>
    </row>
    <row r="978" spans="1:13" ht="15.5" x14ac:dyDescent="0.35">
      <c r="A978" s="2"/>
      <c r="B978" s="147"/>
      <c r="C978" s="32"/>
      <c r="F978" s="25"/>
      <c r="I978" s="32"/>
      <c r="L978" s="139"/>
      <c r="M978" s="133"/>
    </row>
    <row r="979" spans="1:13" ht="15.5" x14ac:dyDescent="0.35">
      <c r="A979" s="2"/>
      <c r="B979" s="147"/>
      <c r="C979" s="32"/>
      <c r="F979" s="25"/>
      <c r="I979" s="32"/>
      <c r="L979" s="139"/>
      <c r="M979" s="133"/>
    </row>
    <row r="980" spans="1:13" ht="15.5" x14ac:dyDescent="0.35">
      <c r="A980" s="2"/>
      <c r="B980" s="147"/>
      <c r="C980" s="32"/>
      <c r="F980" s="25"/>
      <c r="I980" s="32"/>
      <c r="L980" s="139"/>
      <c r="M980" s="133"/>
    </row>
    <row r="981" spans="1:13" ht="15.5" x14ac:dyDescent="0.35">
      <c r="A981" s="2"/>
      <c r="B981" s="147"/>
      <c r="C981" s="32"/>
      <c r="F981" s="25"/>
      <c r="I981" s="32"/>
      <c r="L981" s="139"/>
      <c r="M981" s="133"/>
    </row>
    <row r="982" spans="1:13" ht="15.5" x14ac:dyDescent="0.35">
      <c r="A982" s="2"/>
      <c r="B982" s="147"/>
      <c r="C982" s="32"/>
      <c r="F982" s="25"/>
      <c r="I982" s="32"/>
      <c r="L982" s="139"/>
      <c r="M982" s="133"/>
    </row>
    <row r="983" spans="1:13" ht="15.5" x14ac:dyDescent="0.35">
      <c r="A983" s="2"/>
      <c r="B983" s="147"/>
      <c r="C983" s="32"/>
      <c r="F983" s="25"/>
      <c r="I983" s="32"/>
      <c r="L983" s="139"/>
      <c r="M983" s="133"/>
    </row>
    <row r="984" spans="1:13" ht="15.5" x14ac:dyDescent="0.35">
      <c r="A984" s="2"/>
      <c r="B984" s="147"/>
      <c r="C984" s="32"/>
      <c r="F984" s="25"/>
      <c r="I984" s="32"/>
      <c r="L984" s="139"/>
      <c r="M984" s="133"/>
    </row>
    <row r="985" spans="1:13" ht="15.5" x14ac:dyDescent="0.35">
      <c r="A985" s="2"/>
      <c r="B985" s="147"/>
      <c r="C985" s="32"/>
      <c r="F985" s="25"/>
      <c r="I985" s="32"/>
      <c r="L985" s="139"/>
      <c r="M985" s="133"/>
    </row>
    <row r="986" spans="1:13" ht="15.5" x14ac:dyDescent="0.35">
      <c r="A986" s="2"/>
      <c r="B986" s="147"/>
      <c r="C986" s="32"/>
      <c r="F986" s="25"/>
      <c r="I986" s="32"/>
      <c r="L986" s="139"/>
      <c r="M986" s="133"/>
    </row>
    <row r="987" spans="1:13" ht="15.5" x14ac:dyDescent="0.35">
      <c r="A987" s="2"/>
      <c r="B987" s="147"/>
      <c r="C987" s="32"/>
      <c r="F987" s="25"/>
      <c r="I987" s="32"/>
      <c r="L987" s="139"/>
      <c r="M987" s="133"/>
    </row>
    <row r="988" spans="1:13" ht="15.5" x14ac:dyDescent="0.35">
      <c r="A988" s="2"/>
      <c r="B988" s="147"/>
      <c r="C988" s="32"/>
      <c r="F988" s="25"/>
      <c r="I988" s="32"/>
      <c r="L988" s="139"/>
      <c r="M988" s="133"/>
    </row>
    <row r="989" spans="1:13" ht="15.5" x14ac:dyDescent="0.35">
      <c r="A989" s="2"/>
      <c r="B989" s="147"/>
      <c r="C989" s="32"/>
      <c r="F989" s="25"/>
      <c r="I989" s="32"/>
      <c r="L989" s="139"/>
      <c r="M989" s="133"/>
    </row>
    <row r="990" spans="1:13" ht="15.5" x14ac:dyDescent="0.35">
      <c r="A990" s="2"/>
      <c r="B990" s="147"/>
      <c r="C990" s="32"/>
      <c r="F990" s="25"/>
      <c r="I990" s="32"/>
      <c r="L990" s="139"/>
      <c r="M990" s="133"/>
    </row>
    <row r="991" spans="1:13" ht="15.5" x14ac:dyDescent="0.35">
      <c r="A991" s="2"/>
      <c r="B991" s="147"/>
      <c r="C991" s="32"/>
      <c r="F991" s="25"/>
      <c r="I991" s="32"/>
      <c r="L991" s="139"/>
      <c r="M991" s="133"/>
    </row>
    <row r="992" spans="1:13" ht="15.5" x14ac:dyDescent="0.35">
      <c r="A992" s="2"/>
      <c r="B992" s="147"/>
      <c r="C992" s="32"/>
      <c r="F992" s="25"/>
      <c r="I992" s="32"/>
      <c r="L992" s="139"/>
      <c r="M992" s="133"/>
    </row>
    <row r="993" spans="1:13" ht="15.5" x14ac:dyDescent="0.35">
      <c r="A993" s="2"/>
      <c r="B993" s="147"/>
      <c r="C993" s="32"/>
      <c r="F993" s="25"/>
      <c r="I993" s="32"/>
      <c r="L993" s="139"/>
      <c r="M993" s="133"/>
    </row>
    <row r="994" spans="1:13" ht="15.5" x14ac:dyDescent="0.35">
      <c r="A994" s="2"/>
      <c r="B994" s="147"/>
      <c r="C994" s="32"/>
      <c r="F994" s="25"/>
      <c r="I994" s="32"/>
      <c r="L994" s="139"/>
      <c r="M994" s="133"/>
    </row>
    <row r="995" spans="1:13" ht="15.5" x14ac:dyDescent="0.35">
      <c r="A995" s="2"/>
      <c r="B995" s="147"/>
      <c r="C995" s="32"/>
      <c r="F995" s="25"/>
      <c r="I995" s="32"/>
      <c r="L995" s="139"/>
      <c r="M995" s="133"/>
    </row>
    <row r="996" spans="1:13" ht="15.5" x14ac:dyDescent="0.35">
      <c r="A996" s="2"/>
      <c r="B996" s="147"/>
      <c r="C996" s="32"/>
      <c r="F996" s="25"/>
      <c r="I996" s="32"/>
      <c r="L996" s="139"/>
      <c r="M996" s="133"/>
    </row>
    <row r="997" spans="1:13" ht="15.5" x14ac:dyDescent="0.35">
      <c r="A997" s="2"/>
      <c r="B997" s="147"/>
      <c r="C997" s="32"/>
      <c r="F997" s="25"/>
      <c r="I997" s="32"/>
      <c r="L997" s="139"/>
      <c r="M997" s="133"/>
    </row>
    <row r="998" spans="1:13" ht="15.5" x14ac:dyDescent="0.35">
      <c r="A998" s="2"/>
      <c r="B998" s="147"/>
      <c r="C998" s="32"/>
      <c r="F998" s="25"/>
      <c r="I998" s="32"/>
      <c r="L998" s="139"/>
      <c r="M998" s="133"/>
    </row>
    <row r="999" spans="1:13" ht="15.5" x14ac:dyDescent="0.35">
      <c r="A999" s="2"/>
      <c r="B999" s="147"/>
      <c r="C999" s="32"/>
      <c r="F999" s="25"/>
      <c r="I999" s="32"/>
      <c r="L999" s="139"/>
      <c r="M999" s="133"/>
    </row>
    <row r="1000" spans="1:13" ht="15.5" x14ac:dyDescent="0.35">
      <c r="A1000" s="2"/>
      <c r="B1000" s="147"/>
      <c r="C1000" s="32"/>
      <c r="F1000" s="25"/>
      <c r="I1000" s="32"/>
      <c r="L1000" s="139"/>
      <c r="M1000" s="133"/>
    </row>
    <row r="1001" spans="1:13" ht="15.5" x14ac:dyDescent="0.35">
      <c r="A1001" s="2"/>
      <c r="B1001" s="147"/>
      <c r="C1001" s="32"/>
      <c r="F1001" s="25"/>
      <c r="I1001" s="32"/>
      <c r="L1001" s="139"/>
      <c r="M1001" s="133"/>
    </row>
    <row r="1002" spans="1:13" ht="15.5" x14ac:dyDescent="0.35">
      <c r="A1002" s="2"/>
      <c r="B1002" s="147"/>
      <c r="C1002" s="32"/>
      <c r="F1002" s="25"/>
      <c r="I1002" s="32"/>
      <c r="L1002" s="139"/>
      <c r="M1002" s="133"/>
    </row>
    <row r="1003" spans="1:13" ht="15.5" x14ac:dyDescent="0.35">
      <c r="A1003" s="2"/>
      <c r="B1003" s="147"/>
      <c r="C1003" s="32"/>
      <c r="F1003" s="25"/>
      <c r="I1003" s="32"/>
      <c r="L1003" s="139"/>
      <c r="M1003" s="133"/>
    </row>
    <row r="1004" spans="1:13" ht="15.5" x14ac:dyDescent="0.35">
      <c r="A1004" s="2"/>
      <c r="B1004" s="147"/>
      <c r="C1004" s="32"/>
      <c r="F1004" s="25"/>
      <c r="I1004" s="32"/>
      <c r="L1004" s="139"/>
      <c r="M1004" s="133"/>
    </row>
    <row r="1005" spans="1:13" ht="15.5" x14ac:dyDescent="0.35">
      <c r="A1005" s="2"/>
      <c r="B1005" s="147"/>
      <c r="C1005" s="32"/>
      <c r="F1005" s="25"/>
      <c r="I1005" s="32"/>
      <c r="L1005" s="139"/>
      <c r="M1005" s="133"/>
    </row>
    <row r="1006" spans="1:13" ht="15.5" x14ac:dyDescent="0.35">
      <c r="A1006" s="2"/>
      <c r="B1006" s="147"/>
      <c r="C1006" s="32"/>
      <c r="F1006" s="25"/>
      <c r="I1006" s="32"/>
      <c r="L1006" s="139"/>
      <c r="M1006" s="133"/>
    </row>
    <row r="1007" spans="1:13" ht="15.5" x14ac:dyDescent="0.35">
      <c r="A1007" s="2"/>
      <c r="B1007" s="147"/>
      <c r="C1007" s="32"/>
      <c r="F1007" s="25"/>
      <c r="I1007" s="32"/>
      <c r="L1007" s="139"/>
      <c r="M1007" s="133"/>
    </row>
    <row r="1008" spans="1:13" ht="15.5" x14ac:dyDescent="0.35">
      <c r="A1008" s="2"/>
      <c r="B1008" s="147"/>
      <c r="C1008" s="32"/>
      <c r="F1008" s="25"/>
      <c r="I1008" s="32"/>
      <c r="L1008" s="139"/>
      <c r="M1008" s="133"/>
    </row>
    <row r="1009" spans="1:13" ht="15.5" x14ac:dyDescent="0.35">
      <c r="A1009" s="2"/>
      <c r="B1009" s="147"/>
      <c r="C1009" s="32"/>
      <c r="F1009" s="25"/>
      <c r="I1009" s="32"/>
      <c r="L1009" s="139"/>
      <c r="M1009" s="133"/>
    </row>
    <row r="1010" spans="1:13" ht="15.5" x14ac:dyDescent="0.35">
      <c r="A1010" s="2"/>
      <c r="B1010" s="147"/>
      <c r="C1010" s="32"/>
      <c r="F1010" s="25"/>
      <c r="I1010" s="32"/>
      <c r="L1010" s="139"/>
      <c r="M1010" s="133"/>
    </row>
    <row r="1011" spans="1:13" ht="15.5" x14ac:dyDescent="0.35">
      <c r="A1011" s="2"/>
      <c r="B1011" s="147"/>
      <c r="C1011" s="32"/>
      <c r="F1011" s="25"/>
      <c r="I1011" s="32"/>
      <c r="L1011" s="139"/>
      <c r="M1011" s="133"/>
    </row>
    <row r="1012" spans="1:13" ht="15.5" x14ac:dyDescent="0.35">
      <c r="A1012" s="2"/>
      <c r="B1012" s="147"/>
      <c r="C1012" s="32"/>
      <c r="F1012" s="25"/>
      <c r="I1012" s="32"/>
      <c r="L1012" s="139"/>
      <c r="M1012" s="133"/>
    </row>
    <row r="1013" spans="1:13" ht="15.5" x14ac:dyDescent="0.35">
      <c r="A1013" s="2"/>
      <c r="B1013" s="147"/>
      <c r="C1013" s="32"/>
      <c r="F1013" s="25"/>
      <c r="I1013" s="32"/>
      <c r="L1013" s="139"/>
      <c r="M1013" s="133"/>
    </row>
    <row r="1014" spans="1:13" ht="15.5" x14ac:dyDescent="0.35">
      <c r="A1014" s="2"/>
      <c r="B1014" s="147"/>
      <c r="C1014" s="32"/>
      <c r="F1014" s="25"/>
      <c r="I1014" s="32"/>
      <c r="L1014" s="139"/>
      <c r="M1014" s="133"/>
    </row>
    <row r="1015" spans="1:13" ht="15.5" x14ac:dyDescent="0.35">
      <c r="A1015" s="2"/>
      <c r="B1015" s="147"/>
      <c r="C1015" s="32"/>
      <c r="F1015" s="25"/>
      <c r="I1015" s="32"/>
      <c r="L1015" s="139"/>
      <c r="M1015" s="133"/>
    </row>
    <row r="1016" spans="1:13" ht="15.5" x14ac:dyDescent="0.35">
      <c r="A1016" s="2"/>
      <c r="B1016" s="147"/>
      <c r="C1016" s="32"/>
      <c r="F1016" s="25"/>
      <c r="I1016" s="32"/>
      <c r="L1016" s="139"/>
      <c r="M1016" s="133"/>
    </row>
    <row r="1017" spans="1:13" ht="15.5" x14ac:dyDescent="0.35">
      <c r="A1017" s="2"/>
      <c r="B1017" s="147"/>
      <c r="C1017" s="32"/>
      <c r="F1017" s="25"/>
      <c r="I1017" s="32"/>
      <c r="L1017" s="139"/>
      <c r="M1017" s="133"/>
    </row>
    <row r="1018" spans="1:13" ht="15.5" x14ac:dyDescent="0.35">
      <c r="A1018" s="2"/>
      <c r="B1018" s="147"/>
      <c r="C1018" s="32"/>
      <c r="F1018" s="25"/>
      <c r="I1018" s="32"/>
      <c r="L1018" s="139"/>
      <c r="M1018" s="133"/>
    </row>
    <row r="1019" spans="1:13" ht="15.5" x14ac:dyDescent="0.35">
      <c r="A1019" s="2"/>
      <c r="B1019" s="147"/>
      <c r="C1019" s="32"/>
      <c r="F1019" s="25"/>
      <c r="I1019" s="32"/>
      <c r="L1019" s="139"/>
      <c r="M1019" s="133"/>
    </row>
    <row r="1020" spans="1:13" ht="15.5" x14ac:dyDescent="0.35">
      <c r="A1020" s="2"/>
      <c r="B1020" s="147"/>
      <c r="C1020" s="32"/>
      <c r="F1020" s="25"/>
      <c r="I1020" s="32"/>
      <c r="L1020" s="139"/>
      <c r="M1020" s="133"/>
    </row>
    <row r="1021" spans="1:13" ht="15.5" x14ac:dyDescent="0.35">
      <c r="A1021" s="2"/>
      <c r="B1021" s="147"/>
      <c r="C1021" s="32"/>
      <c r="F1021" s="25"/>
      <c r="I1021" s="32"/>
      <c r="L1021" s="139"/>
      <c r="M1021" s="133"/>
    </row>
    <row r="1022" spans="1:13" ht="15.5" x14ac:dyDescent="0.35">
      <c r="A1022" s="2"/>
      <c r="B1022" s="147"/>
      <c r="C1022" s="32"/>
      <c r="F1022" s="25"/>
      <c r="I1022" s="32"/>
      <c r="L1022" s="139"/>
      <c r="M1022" s="133"/>
    </row>
    <row r="1023" spans="1:13" ht="15.5" x14ac:dyDescent="0.35">
      <c r="A1023" s="2"/>
      <c r="B1023" s="147"/>
      <c r="C1023" s="32"/>
      <c r="F1023" s="25"/>
      <c r="I1023" s="32"/>
      <c r="L1023" s="139"/>
      <c r="M1023" s="133"/>
    </row>
    <row r="1024" spans="1:13" ht="15.5" x14ac:dyDescent="0.35">
      <c r="A1024" s="2"/>
      <c r="B1024" s="147"/>
      <c r="C1024" s="32"/>
      <c r="F1024" s="25"/>
      <c r="I1024" s="32"/>
      <c r="L1024" s="139"/>
      <c r="M1024" s="133"/>
    </row>
    <row r="1025" spans="1:13" ht="15.5" x14ac:dyDescent="0.35">
      <c r="A1025" s="2"/>
      <c r="B1025" s="147"/>
      <c r="C1025" s="32"/>
      <c r="F1025" s="25"/>
      <c r="I1025" s="32"/>
      <c r="L1025" s="139"/>
      <c r="M1025" s="133"/>
    </row>
    <row r="1026" spans="1:13" ht="15.5" x14ac:dyDescent="0.35">
      <c r="A1026" s="2"/>
      <c r="B1026" s="147"/>
      <c r="C1026" s="32"/>
      <c r="F1026" s="25"/>
      <c r="I1026" s="32"/>
      <c r="L1026" s="139"/>
      <c r="M1026" s="133"/>
    </row>
    <row r="1027" spans="1:13" ht="15.5" x14ac:dyDescent="0.35">
      <c r="A1027" s="2"/>
      <c r="B1027" s="147"/>
      <c r="C1027" s="32"/>
      <c r="F1027" s="25"/>
      <c r="I1027" s="32"/>
      <c r="L1027" s="139"/>
      <c r="M1027" s="133"/>
    </row>
    <row r="1028" spans="1:13" ht="15.5" x14ac:dyDescent="0.35">
      <c r="A1028" s="2"/>
      <c r="B1028" s="147"/>
      <c r="C1028" s="32"/>
      <c r="F1028" s="25"/>
      <c r="I1028" s="32"/>
      <c r="L1028" s="139"/>
      <c r="M1028" s="133"/>
    </row>
    <row r="1029" spans="1:13" ht="15.5" x14ac:dyDescent="0.35">
      <c r="A1029" s="2"/>
      <c r="B1029" s="147"/>
      <c r="C1029" s="32"/>
      <c r="F1029" s="25"/>
      <c r="I1029" s="32"/>
      <c r="L1029" s="139"/>
      <c r="M1029" s="133"/>
    </row>
    <row r="1030" spans="1:13" ht="15.5" x14ac:dyDescent="0.35">
      <c r="A1030" s="2"/>
      <c r="B1030" s="147"/>
      <c r="C1030" s="32"/>
      <c r="F1030" s="25"/>
      <c r="I1030" s="32"/>
      <c r="L1030" s="139"/>
      <c r="M1030" s="133"/>
    </row>
    <row r="1031" spans="1:13" ht="15.5" x14ac:dyDescent="0.35">
      <c r="A1031" s="2"/>
      <c r="B1031" s="147"/>
      <c r="C1031" s="32"/>
      <c r="F1031" s="25"/>
      <c r="I1031" s="32"/>
      <c r="L1031" s="139"/>
      <c r="M1031" s="133"/>
    </row>
    <row r="1032" spans="1:13" ht="15.5" x14ac:dyDescent="0.35">
      <c r="A1032" s="2"/>
      <c r="B1032" s="147"/>
      <c r="C1032" s="32"/>
      <c r="F1032" s="25"/>
      <c r="I1032" s="32"/>
      <c r="L1032" s="139"/>
      <c r="M1032" s="133"/>
    </row>
    <row r="1033" spans="1:13" ht="15.5" x14ac:dyDescent="0.35">
      <c r="A1033" s="2"/>
      <c r="B1033" s="147"/>
      <c r="C1033" s="32"/>
      <c r="F1033" s="25"/>
      <c r="I1033" s="32"/>
      <c r="L1033" s="139"/>
      <c r="M1033" s="133"/>
    </row>
    <row r="1034" spans="1:13" ht="15.5" x14ac:dyDescent="0.35">
      <c r="A1034" s="2"/>
      <c r="B1034" s="147"/>
      <c r="C1034" s="32"/>
      <c r="F1034" s="25"/>
      <c r="I1034" s="32"/>
      <c r="L1034" s="139"/>
      <c r="M1034" s="133"/>
    </row>
    <row r="1035" spans="1:13" ht="15.5" x14ac:dyDescent="0.35">
      <c r="A1035" s="2"/>
      <c r="B1035" s="147"/>
      <c r="C1035" s="32"/>
      <c r="F1035" s="25"/>
      <c r="I1035" s="32"/>
      <c r="L1035" s="139"/>
      <c r="M1035" s="133"/>
    </row>
    <row r="1036" spans="1:13" ht="15.5" x14ac:dyDescent="0.35">
      <c r="A1036" s="2"/>
      <c r="B1036" s="147"/>
      <c r="C1036" s="32"/>
      <c r="F1036" s="25"/>
      <c r="I1036" s="32"/>
      <c r="L1036" s="139"/>
      <c r="M1036" s="133"/>
    </row>
    <row r="1037" spans="1:13" ht="15.5" x14ac:dyDescent="0.35">
      <c r="A1037" s="2"/>
      <c r="B1037" s="147"/>
      <c r="C1037" s="32"/>
      <c r="F1037" s="25"/>
      <c r="I1037" s="32"/>
      <c r="L1037" s="139"/>
      <c r="M1037" s="133"/>
    </row>
    <row r="1038" spans="1:13" ht="15.5" x14ac:dyDescent="0.35">
      <c r="A1038" s="2"/>
      <c r="B1038" s="147"/>
      <c r="C1038" s="32"/>
      <c r="F1038" s="25"/>
      <c r="I1038" s="32"/>
      <c r="L1038" s="139"/>
      <c r="M1038" s="133"/>
    </row>
    <row r="1039" spans="1:13" ht="15.5" x14ac:dyDescent="0.35">
      <c r="A1039" s="2"/>
      <c r="B1039" s="147"/>
      <c r="C1039" s="32"/>
      <c r="F1039" s="25"/>
      <c r="I1039" s="32"/>
      <c r="L1039" s="139"/>
      <c r="M1039" s="133"/>
    </row>
    <row r="1040" spans="1:13" ht="15.5" x14ac:dyDescent="0.35">
      <c r="A1040" s="2"/>
      <c r="B1040" s="147"/>
      <c r="C1040" s="32"/>
      <c r="F1040" s="25"/>
      <c r="I1040" s="32"/>
      <c r="L1040" s="139"/>
      <c r="M1040" s="133"/>
    </row>
    <row r="1041" spans="1:13" ht="15.5" x14ac:dyDescent="0.35">
      <c r="A1041" s="2"/>
      <c r="B1041" s="147"/>
      <c r="C1041" s="32"/>
      <c r="F1041" s="25"/>
      <c r="I1041" s="32"/>
      <c r="L1041" s="139"/>
      <c r="M1041" s="133"/>
    </row>
    <row r="1042" spans="1:13" ht="15.5" x14ac:dyDescent="0.35">
      <c r="A1042" s="2"/>
      <c r="B1042" s="147"/>
      <c r="C1042" s="32"/>
      <c r="F1042" s="25"/>
      <c r="I1042" s="32"/>
      <c r="L1042" s="139"/>
      <c r="M1042" s="133"/>
    </row>
    <row r="1043" spans="1:13" ht="15.5" x14ac:dyDescent="0.35">
      <c r="A1043" s="2"/>
      <c r="B1043" s="147"/>
      <c r="C1043" s="32"/>
      <c r="F1043" s="25"/>
      <c r="I1043" s="32"/>
      <c r="L1043" s="139"/>
      <c r="M1043" s="133"/>
    </row>
    <row r="1044" spans="1:13" ht="15.5" x14ac:dyDescent="0.35">
      <c r="A1044" s="2"/>
      <c r="B1044" s="147"/>
      <c r="C1044" s="32"/>
      <c r="F1044" s="25"/>
      <c r="I1044" s="32"/>
      <c r="L1044" s="139"/>
      <c r="M1044" s="133"/>
    </row>
    <row r="1045" spans="1:13" ht="15.5" x14ac:dyDescent="0.35">
      <c r="A1045" s="2"/>
      <c r="B1045" s="147"/>
      <c r="C1045" s="32"/>
      <c r="F1045" s="25"/>
      <c r="I1045" s="32"/>
      <c r="L1045" s="139"/>
      <c r="M1045" s="133"/>
    </row>
    <row r="1046" spans="1:13" ht="15.5" x14ac:dyDescent="0.35">
      <c r="A1046" s="2"/>
      <c r="B1046" s="147"/>
      <c r="C1046" s="32"/>
      <c r="F1046" s="25"/>
      <c r="I1046" s="32"/>
      <c r="L1046" s="139"/>
      <c r="M1046" s="133"/>
    </row>
    <row r="1047" spans="1:13" ht="15.5" x14ac:dyDescent="0.35">
      <c r="A1047" s="2"/>
      <c r="B1047" s="147"/>
      <c r="C1047" s="32"/>
      <c r="F1047" s="25"/>
      <c r="I1047" s="32"/>
      <c r="L1047" s="139"/>
      <c r="M1047" s="133"/>
    </row>
    <row r="1048" spans="1:13" ht="15.5" x14ac:dyDescent="0.35">
      <c r="A1048" s="2"/>
      <c r="B1048" s="147"/>
      <c r="C1048" s="32"/>
      <c r="F1048" s="25"/>
      <c r="I1048" s="32"/>
      <c r="L1048" s="139"/>
      <c r="M1048" s="133"/>
    </row>
    <row r="1049" spans="1:13" ht="15.5" x14ac:dyDescent="0.35">
      <c r="A1049" s="2"/>
      <c r="B1049" s="147"/>
      <c r="C1049" s="32"/>
      <c r="F1049" s="25"/>
      <c r="I1049" s="32"/>
      <c r="L1049" s="139"/>
      <c r="M1049" s="133"/>
    </row>
    <row r="1050" spans="1:13" ht="15.5" x14ac:dyDescent="0.35">
      <c r="A1050" s="2"/>
      <c r="B1050" s="147"/>
      <c r="C1050" s="32"/>
      <c r="F1050" s="25"/>
      <c r="I1050" s="32"/>
      <c r="L1050" s="139"/>
      <c r="M1050" s="133"/>
    </row>
    <row r="1051" spans="1:13" ht="15.5" x14ac:dyDescent="0.35">
      <c r="A1051" s="2"/>
      <c r="B1051" s="147"/>
      <c r="C1051" s="32"/>
      <c r="F1051" s="25"/>
      <c r="I1051" s="32"/>
      <c r="L1051" s="139"/>
      <c r="M1051" s="133"/>
    </row>
    <row r="1052" spans="1:13" ht="15.5" x14ac:dyDescent="0.35">
      <c r="A1052" s="2"/>
      <c r="B1052" s="147"/>
      <c r="C1052" s="32"/>
      <c r="F1052" s="25"/>
      <c r="I1052" s="32"/>
      <c r="L1052" s="139"/>
      <c r="M1052" s="133"/>
    </row>
    <row r="1053" spans="1:13" ht="15.5" x14ac:dyDescent="0.35">
      <c r="A1053" s="2"/>
      <c r="B1053" s="147"/>
      <c r="C1053" s="32"/>
      <c r="F1053" s="25"/>
      <c r="I1053" s="32"/>
      <c r="L1053" s="139"/>
      <c r="M1053" s="133"/>
    </row>
    <row r="1054" spans="1:13" ht="15.5" x14ac:dyDescent="0.35">
      <c r="A1054" s="2"/>
      <c r="B1054" s="147"/>
      <c r="C1054" s="32"/>
      <c r="F1054" s="25"/>
      <c r="I1054" s="32"/>
      <c r="L1054" s="139"/>
      <c r="M1054" s="133"/>
    </row>
    <row r="1055" spans="1:13" ht="15.5" x14ac:dyDescent="0.35">
      <c r="A1055" s="2"/>
      <c r="B1055" s="147"/>
      <c r="C1055" s="32"/>
      <c r="F1055" s="25"/>
      <c r="I1055" s="32"/>
      <c r="L1055" s="139"/>
      <c r="M1055" s="133"/>
    </row>
    <row r="1056" spans="1:13" ht="15.5" x14ac:dyDescent="0.35">
      <c r="A1056" s="2"/>
      <c r="B1056" s="147"/>
      <c r="C1056" s="32"/>
      <c r="F1056" s="25"/>
      <c r="I1056" s="32"/>
      <c r="L1056" s="139"/>
      <c r="M1056" s="133"/>
    </row>
    <row r="1057" spans="1:13" ht="15.5" x14ac:dyDescent="0.35">
      <c r="A1057" s="2"/>
      <c r="B1057" s="147"/>
      <c r="C1057" s="32"/>
      <c r="F1057" s="25"/>
      <c r="I1057" s="32"/>
      <c r="L1057" s="139"/>
      <c r="M1057" s="133"/>
    </row>
    <row r="1058" spans="1:13" ht="15.5" x14ac:dyDescent="0.35">
      <c r="A1058" s="2"/>
      <c r="B1058" s="147"/>
      <c r="C1058" s="32"/>
      <c r="F1058" s="25"/>
      <c r="I1058" s="32"/>
      <c r="L1058" s="139"/>
      <c r="M1058" s="133"/>
    </row>
    <row r="1059" spans="1:13" ht="15.5" x14ac:dyDescent="0.35">
      <c r="A1059" s="2"/>
      <c r="B1059" s="147"/>
      <c r="C1059" s="32"/>
      <c r="F1059" s="25"/>
      <c r="I1059" s="32"/>
      <c r="L1059" s="139"/>
      <c r="M1059" s="133"/>
    </row>
    <row r="1060" spans="1:13" ht="15.5" x14ac:dyDescent="0.35">
      <c r="A1060" s="2"/>
      <c r="B1060" s="147"/>
      <c r="C1060" s="32"/>
      <c r="F1060" s="25"/>
      <c r="I1060" s="32"/>
      <c r="L1060" s="139"/>
      <c r="M1060" s="133"/>
    </row>
    <row r="1061" spans="1:13" ht="15.5" x14ac:dyDescent="0.35">
      <c r="A1061" s="2"/>
      <c r="B1061" s="147"/>
      <c r="C1061" s="32"/>
      <c r="F1061" s="25"/>
      <c r="I1061" s="32"/>
      <c r="L1061" s="139"/>
      <c r="M1061" s="133"/>
    </row>
    <row r="1062" spans="1:13" ht="15.5" x14ac:dyDescent="0.35">
      <c r="A1062" s="2"/>
      <c r="B1062" s="147"/>
      <c r="C1062" s="32"/>
      <c r="F1062" s="25"/>
      <c r="I1062" s="32"/>
      <c r="L1062" s="139"/>
      <c r="M1062" s="133"/>
    </row>
    <row r="1063" spans="1:13" ht="15.5" x14ac:dyDescent="0.35">
      <c r="A1063" s="2"/>
      <c r="B1063" s="147"/>
      <c r="C1063" s="32"/>
      <c r="F1063" s="25"/>
      <c r="I1063" s="32"/>
      <c r="L1063" s="139"/>
      <c r="M1063" s="133"/>
    </row>
    <row r="1064" spans="1:13" ht="15.5" x14ac:dyDescent="0.35">
      <c r="A1064" s="2"/>
      <c r="B1064" s="147"/>
      <c r="C1064" s="32"/>
      <c r="F1064" s="25"/>
      <c r="I1064" s="32"/>
      <c r="L1064" s="139"/>
      <c r="M1064" s="133"/>
    </row>
    <row r="1065" spans="1:13" ht="15.5" x14ac:dyDescent="0.35">
      <c r="A1065" s="2"/>
      <c r="B1065" s="147"/>
      <c r="C1065" s="32"/>
      <c r="F1065" s="25"/>
      <c r="I1065" s="32"/>
      <c r="L1065" s="139"/>
      <c r="M1065" s="133"/>
    </row>
    <row r="1066" spans="1:13" ht="15.5" x14ac:dyDescent="0.35">
      <c r="A1066" s="2"/>
      <c r="B1066" s="147"/>
      <c r="C1066" s="32"/>
      <c r="F1066" s="25"/>
      <c r="I1066" s="32"/>
      <c r="L1066" s="139"/>
      <c r="M1066" s="133"/>
    </row>
    <row r="1067" spans="1:13" ht="15.5" x14ac:dyDescent="0.35">
      <c r="A1067" s="2"/>
      <c r="B1067" s="147"/>
      <c r="C1067" s="32"/>
      <c r="F1067" s="25"/>
      <c r="I1067" s="32"/>
      <c r="L1067" s="139"/>
      <c r="M1067" s="133"/>
    </row>
    <row r="1068" spans="1:13" ht="15.5" x14ac:dyDescent="0.35">
      <c r="A1068" s="2"/>
      <c r="B1068" s="147"/>
      <c r="C1068" s="32"/>
      <c r="F1068" s="25"/>
      <c r="I1068" s="32"/>
      <c r="L1068" s="139"/>
      <c r="M1068" s="133"/>
    </row>
    <row r="1069" spans="1:13" ht="15.5" x14ac:dyDescent="0.35">
      <c r="A1069" s="2"/>
      <c r="B1069" s="147"/>
      <c r="C1069" s="32"/>
      <c r="F1069" s="25"/>
      <c r="I1069" s="32"/>
      <c r="L1069" s="139"/>
      <c r="M1069" s="133"/>
    </row>
    <row r="1070" spans="1:13" ht="15.5" x14ac:dyDescent="0.35">
      <c r="A1070" s="2"/>
      <c r="B1070" s="147"/>
      <c r="C1070" s="32"/>
      <c r="F1070" s="25"/>
      <c r="I1070" s="32"/>
      <c r="L1070" s="139"/>
      <c r="M1070" s="133"/>
    </row>
    <row r="1071" spans="1:13" ht="15.5" x14ac:dyDescent="0.35">
      <c r="A1071" s="2"/>
      <c r="B1071" s="147"/>
      <c r="C1071" s="32"/>
      <c r="F1071" s="25"/>
      <c r="I1071" s="32"/>
      <c r="L1071" s="139"/>
      <c r="M1071" s="133"/>
    </row>
    <row r="1072" spans="1:13" ht="15.5" x14ac:dyDescent="0.35">
      <c r="A1072" s="2"/>
      <c r="B1072" s="147"/>
      <c r="C1072" s="32"/>
      <c r="F1072" s="25"/>
      <c r="I1072" s="32"/>
      <c r="L1072" s="139"/>
      <c r="M1072" s="133"/>
    </row>
    <row r="1073" spans="1:13" ht="15.5" x14ac:dyDescent="0.35">
      <c r="A1073" s="2"/>
      <c r="B1073" s="147"/>
      <c r="C1073" s="32"/>
      <c r="F1073" s="25"/>
      <c r="I1073" s="32"/>
      <c r="L1073" s="139"/>
      <c r="M1073" s="133"/>
    </row>
    <row r="1074" spans="1:13" ht="15.5" x14ac:dyDescent="0.35">
      <c r="A1074" s="2"/>
      <c r="B1074" s="147"/>
      <c r="C1074" s="32"/>
      <c r="F1074" s="25"/>
      <c r="I1074" s="32"/>
      <c r="L1074" s="139"/>
      <c r="M1074" s="133"/>
    </row>
    <row r="1075" spans="1:13" ht="15.5" x14ac:dyDescent="0.35">
      <c r="A1075" s="2"/>
      <c r="B1075" s="147"/>
      <c r="C1075" s="32"/>
      <c r="F1075" s="25"/>
      <c r="I1075" s="32"/>
      <c r="L1075" s="139"/>
      <c r="M1075" s="133"/>
    </row>
    <row r="1076" spans="1:13" ht="15.5" x14ac:dyDescent="0.35">
      <c r="A1076" s="2"/>
      <c r="B1076" s="147"/>
      <c r="C1076" s="32"/>
      <c r="F1076" s="25"/>
      <c r="I1076" s="32"/>
      <c r="L1076" s="139"/>
      <c r="M1076" s="133"/>
    </row>
    <row r="1077" spans="1:13" ht="15.5" x14ac:dyDescent="0.35">
      <c r="A1077" s="2"/>
      <c r="B1077" s="147"/>
      <c r="C1077" s="32"/>
      <c r="F1077" s="25"/>
      <c r="I1077" s="32"/>
      <c r="L1077" s="139"/>
      <c r="M1077" s="133"/>
    </row>
    <row r="1078" spans="1:13" ht="15.5" x14ac:dyDescent="0.35">
      <c r="A1078" s="2"/>
      <c r="B1078" s="147"/>
      <c r="C1078" s="32"/>
      <c r="F1078" s="25"/>
      <c r="I1078" s="32"/>
      <c r="L1078" s="139"/>
      <c r="M1078" s="133"/>
    </row>
    <row r="1079" spans="1:13" ht="15.5" x14ac:dyDescent="0.35">
      <c r="A1079" s="2"/>
      <c r="B1079" s="147"/>
      <c r="C1079" s="32"/>
      <c r="F1079" s="25"/>
      <c r="I1079" s="32"/>
      <c r="L1079" s="139"/>
      <c r="M1079" s="133"/>
    </row>
    <row r="1080" spans="1:13" ht="15.5" x14ac:dyDescent="0.35">
      <c r="A1080" s="2"/>
      <c r="B1080" s="147"/>
      <c r="C1080" s="32"/>
      <c r="F1080" s="25"/>
      <c r="I1080" s="32"/>
      <c r="L1080" s="139"/>
      <c r="M1080" s="133"/>
    </row>
    <row r="1081" spans="1:13" ht="15.5" x14ac:dyDescent="0.35">
      <c r="A1081" s="2"/>
      <c r="B1081" s="147"/>
      <c r="C1081" s="32"/>
      <c r="F1081" s="25"/>
      <c r="I1081" s="32"/>
      <c r="L1081" s="139"/>
      <c r="M1081" s="133"/>
    </row>
    <row r="1082" spans="1:13" ht="15.5" x14ac:dyDescent="0.35">
      <c r="A1082" s="2"/>
      <c r="B1082" s="147"/>
      <c r="C1082" s="32"/>
      <c r="F1082" s="25"/>
      <c r="I1082" s="32"/>
      <c r="L1082" s="139"/>
      <c r="M1082" s="133"/>
    </row>
    <row r="1083" spans="1:13" ht="15.5" x14ac:dyDescent="0.35">
      <c r="A1083" s="2"/>
      <c r="B1083" s="147"/>
      <c r="C1083" s="32"/>
      <c r="F1083" s="25"/>
      <c r="I1083" s="32"/>
      <c r="L1083" s="139"/>
      <c r="M1083" s="133"/>
    </row>
    <row r="1084" spans="1:13" ht="15.5" x14ac:dyDescent="0.35">
      <c r="A1084" s="2"/>
      <c r="B1084" s="147"/>
      <c r="C1084" s="32"/>
      <c r="F1084" s="25"/>
      <c r="I1084" s="32"/>
      <c r="L1084" s="139"/>
      <c r="M1084" s="133"/>
    </row>
    <row r="1085" spans="1:13" ht="15.5" x14ac:dyDescent="0.35">
      <c r="A1085" s="2"/>
      <c r="B1085" s="147"/>
      <c r="C1085" s="32"/>
      <c r="F1085" s="25"/>
      <c r="I1085" s="32"/>
      <c r="L1085" s="139"/>
      <c r="M1085" s="133"/>
    </row>
    <row r="1086" spans="1:13" ht="15.5" x14ac:dyDescent="0.35">
      <c r="A1086" s="2"/>
      <c r="B1086" s="147"/>
      <c r="C1086" s="32"/>
      <c r="F1086" s="25"/>
      <c r="I1086" s="32"/>
      <c r="L1086" s="139"/>
      <c r="M1086" s="133"/>
    </row>
    <row r="1087" spans="1:13" ht="15.5" x14ac:dyDescent="0.35">
      <c r="A1087" s="2"/>
      <c r="B1087" s="147"/>
      <c r="C1087" s="32"/>
      <c r="F1087" s="25"/>
      <c r="I1087" s="32"/>
      <c r="L1087" s="139"/>
      <c r="M1087" s="133"/>
    </row>
    <row r="1088" spans="1:13" ht="15.5" x14ac:dyDescent="0.35">
      <c r="A1088" s="2"/>
      <c r="B1088" s="147"/>
      <c r="C1088" s="32"/>
      <c r="F1088" s="25"/>
      <c r="I1088" s="32"/>
      <c r="L1088" s="139"/>
      <c r="M1088" s="133"/>
    </row>
    <row r="1089" spans="1:13" ht="15.5" x14ac:dyDescent="0.35">
      <c r="A1089" s="2"/>
      <c r="B1089" s="147"/>
      <c r="C1089" s="32"/>
      <c r="F1089" s="25"/>
      <c r="I1089" s="32"/>
      <c r="L1089" s="139"/>
      <c r="M1089" s="133"/>
    </row>
    <row r="1090" spans="1:13" ht="15.5" x14ac:dyDescent="0.35">
      <c r="A1090" s="2"/>
      <c r="B1090" s="147"/>
      <c r="C1090" s="32"/>
      <c r="F1090" s="25"/>
      <c r="I1090" s="32"/>
      <c r="L1090" s="139"/>
      <c r="M1090" s="133"/>
    </row>
    <row r="1091" spans="1:13" ht="15.5" x14ac:dyDescent="0.35">
      <c r="A1091" s="2"/>
      <c r="B1091" s="147"/>
      <c r="C1091" s="32"/>
      <c r="F1091" s="25"/>
      <c r="I1091" s="32"/>
      <c r="L1091" s="139"/>
      <c r="M1091" s="133"/>
    </row>
    <row r="1092" spans="1:13" ht="15.5" x14ac:dyDescent="0.35">
      <c r="A1092" s="2"/>
      <c r="B1092" s="147"/>
      <c r="C1092" s="32"/>
      <c r="F1092" s="25"/>
      <c r="I1092" s="32"/>
      <c r="L1092" s="139"/>
      <c r="M1092" s="133"/>
    </row>
    <row r="1093" spans="1:13" ht="15.5" x14ac:dyDescent="0.35">
      <c r="A1093" s="2"/>
      <c r="B1093" s="147"/>
      <c r="C1093" s="32"/>
      <c r="F1093" s="25"/>
      <c r="I1093" s="32"/>
      <c r="L1093" s="139"/>
      <c r="M1093" s="133"/>
    </row>
    <row r="1094" spans="1:13" ht="15.5" x14ac:dyDescent="0.35">
      <c r="A1094" s="2"/>
      <c r="B1094" s="147"/>
      <c r="C1094" s="32"/>
      <c r="F1094" s="25"/>
      <c r="I1094" s="32"/>
      <c r="L1094" s="139"/>
      <c r="M1094" s="133"/>
    </row>
    <row r="1095" spans="1:13" ht="15.5" x14ac:dyDescent="0.35">
      <c r="A1095" s="2"/>
      <c r="B1095" s="147"/>
      <c r="C1095" s="32"/>
      <c r="F1095" s="25"/>
      <c r="I1095" s="32"/>
      <c r="L1095" s="139"/>
      <c r="M1095" s="133"/>
    </row>
    <row r="1096" spans="1:13" ht="15.5" x14ac:dyDescent="0.35">
      <c r="A1096" s="2"/>
      <c r="B1096" s="147"/>
      <c r="C1096" s="32"/>
      <c r="F1096" s="25"/>
      <c r="I1096" s="32"/>
      <c r="L1096" s="139"/>
      <c r="M1096" s="133"/>
    </row>
    <row r="1097" spans="1:13" ht="15.5" x14ac:dyDescent="0.35">
      <c r="A1097" s="2"/>
      <c r="B1097" s="147"/>
      <c r="C1097" s="32"/>
      <c r="F1097" s="25"/>
      <c r="I1097" s="32"/>
      <c r="L1097" s="139"/>
      <c r="M1097" s="133"/>
    </row>
    <row r="1098" spans="1:13" ht="15.5" x14ac:dyDescent="0.35">
      <c r="A1098" s="2"/>
      <c r="B1098" s="147"/>
      <c r="C1098" s="32"/>
      <c r="F1098" s="25"/>
      <c r="I1098" s="32"/>
      <c r="L1098" s="139"/>
      <c r="M1098" s="133"/>
    </row>
    <row r="1099" spans="1:13" ht="15.5" x14ac:dyDescent="0.35">
      <c r="A1099" s="2"/>
      <c r="B1099" s="147"/>
      <c r="C1099" s="32"/>
      <c r="F1099" s="25"/>
      <c r="I1099" s="32"/>
      <c r="L1099" s="139"/>
      <c r="M1099" s="133"/>
    </row>
    <row r="1100" spans="1:13" ht="15.5" x14ac:dyDescent="0.35">
      <c r="A1100" s="2"/>
      <c r="B1100" s="147"/>
      <c r="C1100" s="32"/>
      <c r="F1100" s="25"/>
      <c r="I1100" s="32"/>
      <c r="L1100" s="139"/>
      <c r="M1100" s="133"/>
    </row>
    <row r="1101" spans="1:13" ht="15.5" x14ac:dyDescent="0.35">
      <c r="A1101" s="2"/>
      <c r="B1101" s="147"/>
      <c r="C1101" s="32"/>
      <c r="F1101" s="25"/>
      <c r="I1101" s="32"/>
      <c r="L1101" s="139"/>
      <c r="M1101" s="133"/>
    </row>
    <row r="1102" spans="1:13" ht="15.5" x14ac:dyDescent="0.35">
      <c r="A1102" s="2"/>
      <c r="B1102" s="147"/>
      <c r="C1102" s="32"/>
      <c r="F1102" s="25"/>
      <c r="I1102" s="32"/>
      <c r="L1102" s="139"/>
      <c r="M1102" s="133"/>
    </row>
    <row r="1103" spans="1:13" ht="15.5" x14ac:dyDescent="0.35">
      <c r="A1103" s="2"/>
      <c r="B1103" s="147"/>
      <c r="C1103" s="32"/>
      <c r="F1103" s="25"/>
      <c r="I1103" s="32"/>
      <c r="L1103" s="139"/>
      <c r="M1103" s="133"/>
    </row>
    <row r="1104" spans="1:13" ht="15.5" x14ac:dyDescent="0.35">
      <c r="A1104" s="2"/>
      <c r="B1104" s="147"/>
      <c r="C1104" s="32"/>
      <c r="F1104" s="25"/>
      <c r="I1104" s="32"/>
      <c r="L1104" s="139"/>
      <c r="M1104" s="133"/>
    </row>
    <row r="1105" spans="1:13" ht="15.5" x14ac:dyDescent="0.35">
      <c r="A1105" s="2"/>
      <c r="B1105" s="147"/>
      <c r="C1105" s="32"/>
      <c r="F1105" s="25"/>
      <c r="I1105" s="32"/>
      <c r="L1105" s="139"/>
      <c r="M1105" s="133"/>
    </row>
    <row r="1106" spans="1:13" ht="15.5" x14ac:dyDescent="0.35">
      <c r="A1106" s="2"/>
      <c r="B1106" s="147"/>
      <c r="C1106" s="32"/>
      <c r="F1106" s="25"/>
      <c r="I1106" s="32"/>
      <c r="L1106" s="139"/>
      <c r="M1106" s="133"/>
    </row>
    <row r="1107" spans="1:13" ht="15.5" x14ac:dyDescent="0.35">
      <c r="A1107" s="2"/>
      <c r="B1107" s="147"/>
      <c r="C1107" s="32"/>
      <c r="F1107" s="25"/>
      <c r="I1107" s="32"/>
      <c r="L1107" s="139"/>
      <c r="M1107" s="133"/>
    </row>
    <row r="1108" spans="1:13" ht="15.5" x14ac:dyDescent="0.35">
      <c r="A1108" s="2"/>
      <c r="B1108" s="147"/>
      <c r="C1108" s="32"/>
      <c r="F1108" s="25"/>
      <c r="I1108" s="32"/>
      <c r="L1108" s="139"/>
      <c r="M1108" s="133"/>
    </row>
    <row r="1109" spans="1:13" ht="15.5" x14ac:dyDescent="0.35">
      <c r="A1109" s="2"/>
      <c r="B1109" s="147"/>
      <c r="C1109" s="32"/>
      <c r="F1109" s="25"/>
      <c r="I1109" s="32"/>
      <c r="L1109" s="139"/>
      <c r="M1109" s="133"/>
    </row>
    <row r="1110" spans="1:13" ht="15.5" x14ac:dyDescent="0.35">
      <c r="A1110" s="2"/>
      <c r="B1110" s="147"/>
      <c r="C1110" s="32"/>
      <c r="F1110" s="25"/>
      <c r="I1110" s="32"/>
      <c r="L1110" s="139"/>
      <c r="M1110" s="133"/>
    </row>
    <row r="1111" spans="1:13" ht="15.5" x14ac:dyDescent="0.35">
      <c r="A1111" s="2"/>
      <c r="B1111" s="147"/>
      <c r="C1111" s="32"/>
      <c r="F1111" s="25"/>
      <c r="I1111" s="32"/>
      <c r="L1111" s="139"/>
      <c r="M1111" s="133"/>
    </row>
    <row r="1112" spans="1:13" ht="15.5" x14ac:dyDescent="0.35">
      <c r="A1112" s="2"/>
      <c r="B1112" s="147"/>
      <c r="C1112" s="32"/>
      <c r="F1112" s="25"/>
      <c r="I1112" s="32"/>
      <c r="L1112" s="139"/>
      <c r="M1112" s="133"/>
    </row>
    <row r="1113" spans="1:13" ht="15.5" x14ac:dyDescent="0.35">
      <c r="A1113" s="2"/>
      <c r="B1113" s="147"/>
      <c r="C1113" s="32"/>
      <c r="F1113" s="25"/>
      <c r="I1113" s="32"/>
      <c r="L1113" s="139"/>
      <c r="M1113" s="133"/>
    </row>
    <row r="1114" spans="1:13" ht="15.5" x14ac:dyDescent="0.35">
      <c r="A1114" s="2"/>
      <c r="B1114" s="147"/>
      <c r="C1114" s="32"/>
      <c r="F1114" s="25"/>
      <c r="I1114" s="32"/>
      <c r="L1114" s="139"/>
      <c r="M1114" s="133"/>
    </row>
    <row r="1115" spans="1:13" ht="15.5" x14ac:dyDescent="0.35">
      <c r="A1115" s="2"/>
      <c r="B1115" s="147"/>
      <c r="C1115" s="32"/>
      <c r="F1115" s="25"/>
      <c r="I1115" s="32"/>
      <c r="L1115" s="139"/>
      <c r="M1115" s="133"/>
    </row>
    <row r="1116" spans="1:13" ht="15.5" x14ac:dyDescent="0.35">
      <c r="A1116" s="2"/>
      <c r="B1116" s="147"/>
      <c r="C1116" s="32"/>
      <c r="F1116" s="25"/>
      <c r="I1116" s="32"/>
      <c r="L1116" s="139"/>
      <c r="M1116" s="133"/>
    </row>
    <row r="1117" spans="1:13" ht="15.5" x14ac:dyDescent="0.35">
      <c r="A1117" s="2"/>
      <c r="B1117" s="147"/>
      <c r="C1117" s="32"/>
      <c r="F1117" s="25"/>
      <c r="I1117" s="32"/>
      <c r="L1117" s="139"/>
      <c r="M1117" s="133"/>
    </row>
    <row r="1118" spans="1:13" ht="15.5" x14ac:dyDescent="0.35">
      <c r="A1118" s="2"/>
      <c r="B1118" s="147"/>
      <c r="C1118" s="32"/>
      <c r="F1118" s="25"/>
      <c r="I1118" s="32"/>
      <c r="L1118" s="139"/>
      <c r="M1118" s="133"/>
    </row>
    <row r="1119" spans="1:13" ht="15.5" x14ac:dyDescent="0.35">
      <c r="A1119" s="2"/>
      <c r="B1119" s="147"/>
      <c r="C1119" s="32"/>
      <c r="F1119" s="25"/>
      <c r="I1119" s="32"/>
      <c r="L1119" s="139"/>
      <c r="M1119" s="133"/>
    </row>
    <row r="1120" spans="1:13" ht="15.5" x14ac:dyDescent="0.35">
      <c r="A1120" s="2"/>
      <c r="B1120" s="147"/>
      <c r="C1120" s="32"/>
      <c r="F1120" s="25"/>
      <c r="I1120" s="32"/>
      <c r="L1120" s="139"/>
      <c r="M1120" s="133"/>
    </row>
    <row r="1121" spans="1:13" ht="15.5" x14ac:dyDescent="0.35">
      <c r="A1121" s="2"/>
      <c r="B1121" s="147"/>
      <c r="C1121" s="32"/>
      <c r="F1121" s="25"/>
      <c r="I1121" s="32"/>
      <c r="L1121" s="139"/>
      <c r="M1121" s="133"/>
    </row>
    <row r="1122" spans="1:13" ht="15.5" x14ac:dyDescent="0.35">
      <c r="A1122" s="2"/>
      <c r="B1122" s="147"/>
      <c r="C1122" s="32"/>
      <c r="F1122" s="25"/>
      <c r="I1122" s="32"/>
      <c r="L1122" s="139"/>
      <c r="M1122" s="133"/>
    </row>
    <row r="1123" spans="1:13" ht="15.5" x14ac:dyDescent="0.35">
      <c r="A1123" s="2"/>
      <c r="B1123" s="147"/>
      <c r="C1123" s="32"/>
      <c r="F1123" s="25"/>
      <c r="I1123" s="32"/>
      <c r="L1123" s="139"/>
      <c r="M1123" s="133"/>
    </row>
    <row r="1124" spans="1:13" ht="15.5" x14ac:dyDescent="0.35">
      <c r="A1124" s="2"/>
      <c r="B1124" s="147"/>
      <c r="C1124" s="32"/>
      <c r="F1124" s="25"/>
      <c r="I1124" s="32"/>
      <c r="L1124" s="139"/>
      <c r="M1124" s="133"/>
    </row>
    <row r="1125" spans="1:13" ht="15.5" x14ac:dyDescent="0.35">
      <c r="A1125" s="2"/>
      <c r="B1125" s="147"/>
      <c r="C1125" s="32"/>
      <c r="F1125" s="25"/>
      <c r="I1125" s="32"/>
      <c r="L1125" s="139"/>
      <c r="M1125" s="133"/>
    </row>
    <row r="1126" spans="1:13" ht="15.5" x14ac:dyDescent="0.35">
      <c r="A1126" s="2"/>
      <c r="B1126" s="147"/>
      <c r="C1126" s="32"/>
      <c r="F1126" s="25"/>
      <c r="I1126" s="32"/>
      <c r="L1126" s="139"/>
      <c r="M1126" s="133"/>
    </row>
    <row r="1127" spans="1:13" ht="15.5" x14ac:dyDescent="0.35">
      <c r="A1127" s="2"/>
      <c r="B1127" s="147"/>
      <c r="C1127" s="32"/>
      <c r="F1127" s="25"/>
      <c r="I1127" s="32"/>
      <c r="L1127" s="24"/>
      <c r="M1127" s="25"/>
    </row>
    <row r="1128" spans="1:13" ht="15.5" x14ac:dyDescent="0.35">
      <c r="A1128" s="2"/>
      <c r="B1128" s="147"/>
      <c r="C1128" s="32"/>
      <c r="F1128" s="25"/>
      <c r="I1128" s="32"/>
      <c r="L1128" s="24"/>
      <c r="M1128" s="25"/>
    </row>
    <row r="1129" spans="1:13" ht="15.5" x14ac:dyDescent="0.35">
      <c r="A1129" s="2"/>
      <c r="B1129" s="147"/>
      <c r="C1129" s="32"/>
      <c r="F1129" s="25"/>
      <c r="I1129" s="32"/>
      <c r="L1129" s="24"/>
      <c r="M1129" s="25"/>
    </row>
    <row r="1130" spans="1:13" ht="15.5" x14ac:dyDescent="0.35">
      <c r="A1130" s="2"/>
      <c r="B1130" s="147"/>
      <c r="C1130" s="32"/>
      <c r="F1130" s="25"/>
      <c r="I1130" s="32"/>
      <c r="L1130" s="24"/>
      <c r="M1130" s="25"/>
    </row>
    <row r="1131" spans="1:13" ht="15.5" x14ac:dyDescent="0.35">
      <c r="A1131" s="2"/>
      <c r="B1131" s="147"/>
      <c r="C1131" s="32"/>
      <c r="F1131" s="25"/>
      <c r="I1131" s="32"/>
      <c r="L1131" s="24"/>
      <c r="M1131" s="25"/>
    </row>
    <row r="1132" spans="1:13" ht="15.5" x14ac:dyDescent="0.35">
      <c r="A1132" s="2"/>
      <c r="B1132" s="147"/>
      <c r="C1132" s="32"/>
      <c r="F1132" s="25"/>
      <c r="I1132" s="32"/>
      <c r="L1132" s="24"/>
      <c r="M1132" s="25"/>
    </row>
    <row r="1133" spans="1:13" ht="15.5" x14ac:dyDescent="0.35">
      <c r="A1133" s="2"/>
      <c r="B1133" s="147"/>
      <c r="C1133" s="32"/>
      <c r="F1133" s="25"/>
      <c r="I1133" s="32"/>
      <c r="L1133" s="24"/>
      <c r="M1133" s="25"/>
    </row>
    <row r="1134" spans="1:13" ht="15.5" x14ac:dyDescent="0.35">
      <c r="A1134" s="2"/>
      <c r="B1134" s="147"/>
      <c r="C1134" s="32"/>
      <c r="F1134" s="25"/>
      <c r="I1134" s="32"/>
      <c r="L1134" s="24"/>
      <c r="M1134" s="25"/>
    </row>
    <row r="1135" spans="1:13" ht="15.5" x14ac:dyDescent="0.35">
      <c r="A1135" s="2"/>
      <c r="B1135" s="147"/>
      <c r="C1135" s="32"/>
      <c r="F1135" s="25"/>
      <c r="I1135" s="32"/>
      <c r="L1135" s="24"/>
      <c r="M1135" s="25"/>
    </row>
    <row r="1136" spans="1:13" ht="15.5" x14ac:dyDescent="0.35">
      <c r="A1136" s="2"/>
      <c r="B1136" s="147"/>
      <c r="C1136" s="32"/>
      <c r="F1136" s="25"/>
      <c r="I1136" s="32"/>
      <c r="L1136" s="24"/>
      <c r="M1136" s="25"/>
    </row>
    <row r="1137" spans="1:13" ht="15.5" x14ac:dyDescent="0.35">
      <c r="A1137" s="2"/>
      <c r="B1137" s="147"/>
      <c r="C1137" s="32"/>
      <c r="F1137" s="25"/>
      <c r="I1137" s="32"/>
      <c r="L1137" s="24"/>
      <c r="M1137" s="25"/>
    </row>
    <row r="1138" spans="1:13" ht="15.5" x14ac:dyDescent="0.35">
      <c r="A1138" s="2"/>
      <c r="B1138" s="147"/>
      <c r="C1138" s="32"/>
      <c r="F1138" s="25"/>
      <c r="I1138" s="32"/>
      <c r="L1138" s="24"/>
      <c r="M1138" s="25"/>
    </row>
    <row r="1139" spans="1:13" ht="15.5" x14ac:dyDescent="0.35">
      <c r="A1139" s="2"/>
      <c r="B1139" s="147"/>
      <c r="C1139" s="32"/>
      <c r="F1139" s="25"/>
      <c r="I1139" s="32"/>
      <c r="L1139" s="24"/>
      <c r="M1139" s="25"/>
    </row>
    <row r="1140" spans="1:13" ht="15.5" x14ac:dyDescent="0.35">
      <c r="A1140" s="2"/>
      <c r="B1140" s="147"/>
      <c r="C1140" s="32"/>
      <c r="F1140" s="25"/>
      <c r="I1140" s="32"/>
      <c r="L1140" s="24"/>
      <c r="M1140" s="25"/>
    </row>
    <row r="1141" spans="1:13" ht="15.5" x14ac:dyDescent="0.35">
      <c r="A1141" s="2"/>
      <c r="B1141" s="147"/>
      <c r="C1141" s="32"/>
      <c r="F1141" s="25"/>
      <c r="I1141" s="32"/>
      <c r="L1141" s="24"/>
      <c r="M1141" s="25"/>
    </row>
    <row r="1142" spans="1:13" ht="15.5" x14ac:dyDescent="0.35">
      <c r="A1142" s="2"/>
      <c r="B1142" s="147"/>
      <c r="C1142" s="32"/>
      <c r="F1142" s="25"/>
      <c r="I1142" s="32"/>
      <c r="L1142" s="24"/>
      <c r="M1142" s="25"/>
    </row>
    <row r="1143" spans="1:13" ht="15.5" x14ac:dyDescent="0.35">
      <c r="A1143" s="2"/>
      <c r="B1143" s="147"/>
      <c r="C1143" s="32"/>
      <c r="F1143" s="25"/>
      <c r="I1143" s="32"/>
      <c r="L1143" s="24"/>
      <c r="M1143" s="25"/>
    </row>
    <row r="1144" spans="1:13" ht="15.5" x14ac:dyDescent="0.35">
      <c r="A1144" s="2"/>
      <c r="B1144" s="147"/>
      <c r="C1144" s="32"/>
      <c r="F1144" s="25"/>
      <c r="I1144" s="32"/>
      <c r="L1144" s="24"/>
      <c r="M1144" s="25"/>
    </row>
    <row r="1145" spans="1:13" ht="15.5" x14ac:dyDescent="0.35">
      <c r="A1145" s="2"/>
      <c r="B1145" s="147"/>
      <c r="C1145" s="32"/>
      <c r="F1145" s="25"/>
      <c r="I1145" s="32"/>
      <c r="L1145" s="24"/>
      <c r="M1145" s="25"/>
    </row>
    <row r="1146" spans="1:13" ht="15.5" x14ac:dyDescent="0.35">
      <c r="A1146" s="2"/>
      <c r="B1146" s="147"/>
      <c r="C1146" s="32"/>
      <c r="F1146" s="25"/>
      <c r="I1146" s="32"/>
      <c r="L1146" s="24"/>
      <c r="M1146" s="25"/>
    </row>
    <row r="1147" spans="1:13" ht="15.5" x14ac:dyDescent="0.35">
      <c r="A1147" s="2"/>
      <c r="B1147" s="147"/>
      <c r="C1147" s="32"/>
      <c r="F1147" s="25"/>
      <c r="I1147" s="32"/>
      <c r="L1147" s="24"/>
      <c r="M1147" s="25"/>
    </row>
    <row r="1148" spans="1:13" ht="15.5" x14ac:dyDescent="0.35">
      <c r="A1148" s="2"/>
      <c r="B1148" s="147"/>
      <c r="C1148" s="32"/>
      <c r="F1148" s="25"/>
      <c r="I1148" s="32"/>
      <c r="L1148" s="24"/>
      <c r="M1148" s="25"/>
    </row>
    <row r="1149" spans="1:13" ht="15.5" x14ac:dyDescent="0.35">
      <c r="A1149" s="2"/>
      <c r="B1149" s="147"/>
      <c r="C1149" s="32"/>
      <c r="F1149" s="25"/>
      <c r="I1149" s="32"/>
      <c r="L1149" s="24"/>
      <c r="M1149" s="25"/>
    </row>
    <row r="1150" spans="1:13" ht="15.5" x14ac:dyDescent="0.35">
      <c r="A1150" s="2"/>
      <c r="B1150" s="147"/>
      <c r="C1150" s="32"/>
      <c r="F1150" s="25"/>
      <c r="I1150" s="32"/>
      <c r="L1150" s="24"/>
      <c r="M1150" s="25"/>
    </row>
    <row r="1151" spans="1:13" ht="15.5" x14ac:dyDescent="0.35">
      <c r="A1151" s="2"/>
      <c r="B1151" s="147"/>
      <c r="C1151" s="32"/>
      <c r="F1151" s="25"/>
      <c r="I1151" s="32"/>
      <c r="L1151" s="24"/>
      <c r="M1151" s="25"/>
    </row>
    <row r="1152" spans="1:13" ht="15.5" x14ac:dyDescent="0.35">
      <c r="A1152" s="2"/>
      <c r="B1152" s="147"/>
      <c r="C1152" s="32"/>
      <c r="F1152" s="25"/>
      <c r="I1152" s="32"/>
      <c r="L1152" s="24"/>
      <c r="M1152" s="25"/>
    </row>
    <row r="1153" spans="1:13" ht="15.5" x14ac:dyDescent="0.35">
      <c r="A1153" s="2"/>
      <c r="B1153" s="147"/>
      <c r="C1153" s="32"/>
      <c r="F1153" s="25"/>
      <c r="I1153" s="32"/>
      <c r="L1153" s="24"/>
      <c r="M1153" s="25"/>
    </row>
    <row r="1154" spans="1:13" ht="15.5" x14ac:dyDescent="0.35">
      <c r="A1154" s="2"/>
      <c r="B1154" s="147"/>
      <c r="C1154" s="32"/>
      <c r="F1154" s="25"/>
      <c r="I1154" s="32"/>
      <c r="L1154" s="24"/>
      <c r="M1154" s="25"/>
    </row>
    <row r="1155" spans="1:13" ht="15.5" x14ac:dyDescent="0.35">
      <c r="A1155" s="2"/>
      <c r="B1155" s="147"/>
      <c r="C1155" s="32"/>
      <c r="F1155" s="25"/>
      <c r="I1155" s="32"/>
      <c r="L1155" s="24"/>
      <c r="M1155" s="25"/>
    </row>
    <row r="1156" spans="1:13" ht="15.5" x14ac:dyDescent="0.35">
      <c r="A1156" s="2"/>
      <c r="B1156" s="147"/>
      <c r="C1156" s="32"/>
      <c r="F1156" s="25"/>
      <c r="I1156" s="32"/>
      <c r="L1156" s="24"/>
      <c r="M1156" s="25"/>
    </row>
    <row r="1157" spans="1:13" ht="15.5" x14ac:dyDescent="0.35">
      <c r="A1157" s="2"/>
      <c r="B1157" s="147"/>
      <c r="C1157" s="32"/>
      <c r="F1157" s="25"/>
      <c r="I1157" s="32"/>
      <c r="L1157" s="24"/>
      <c r="M1157" s="25"/>
    </row>
    <row r="1158" spans="1:13" ht="15.5" x14ac:dyDescent="0.35">
      <c r="A1158" s="2"/>
      <c r="B1158" s="147"/>
      <c r="C1158" s="32"/>
      <c r="F1158" s="25"/>
      <c r="I1158" s="32"/>
      <c r="L1158" s="24"/>
      <c r="M1158" s="25"/>
    </row>
    <row r="1159" spans="1:13" ht="15.5" x14ac:dyDescent="0.35">
      <c r="A1159" s="2"/>
      <c r="B1159" s="147"/>
      <c r="C1159" s="32"/>
      <c r="F1159" s="25"/>
      <c r="I1159" s="32"/>
      <c r="L1159" s="24"/>
      <c r="M1159" s="25"/>
    </row>
    <row r="1160" spans="1:13" ht="15.5" x14ac:dyDescent="0.35">
      <c r="A1160" s="2"/>
      <c r="B1160" s="147"/>
      <c r="C1160" s="32"/>
      <c r="F1160" s="25"/>
      <c r="I1160" s="32"/>
      <c r="L1160" s="24"/>
      <c r="M1160" s="25"/>
    </row>
    <row r="1161" spans="1:13" ht="15.5" x14ac:dyDescent="0.35">
      <c r="A1161" s="2"/>
      <c r="B1161" s="147"/>
      <c r="C1161" s="32"/>
      <c r="F1161" s="25"/>
      <c r="I1161" s="32"/>
      <c r="L1161" s="24"/>
      <c r="M1161" s="25"/>
    </row>
    <row r="1162" spans="1:13" ht="15.5" x14ac:dyDescent="0.35">
      <c r="A1162" s="2"/>
      <c r="B1162" s="147"/>
      <c r="C1162" s="32"/>
      <c r="F1162" s="25"/>
      <c r="I1162" s="32"/>
      <c r="L1162" s="24"/>
      <c r="M1162" s="25"/>
    </row>
    <row r="1163" spans="1:13" ht="15.5" x14ac:dyDescent="0.35">
      <c r="A1163" s="2"/>
      <c r="B1163" s="147"/>
      <c r="C1163" s="32"/>
      <c r="F1163" s="25"/>
      <c r="I1163" s="32"/>
      <c r="L1163" s="24"/>
      <c r="M1163" s="25"/>
    </row>
    <row r="1164" spans="1:13" ht="15.5" x14ac:dyDescent="0.35">
      <c r="A1164" s="2"/>
      <c r="B1164" s="147"/>
      <c r="C1164" s="32"/>
      <c r="F1164" s="25"/>
      <c r="I1164" s="32"/>
      <c r="L1164" s="24"/>
      <c r="M1164" s="25"/>
    </row>
    <row r="1165" spans="1:13" ht="15.5" x14ac:dyDescent="0.35">
      <c r="A1165" s="2"/>
      <c r="B1165" s="147"/>
      <c r="C1165" s="32"/>
      <c r="F1165" s="25"/>
      <c r="I1165" s="32"/>
      <c r="L1165" s="24"/>
      <c r="M1165" s="25"/>
    </row>
    <row r="1166" spans="1:13" ht="15.5" x14ac:dyDescent="0.35">
      <c r="A1166" s="2"/>
      <c r="B1166" s="147"/>
      <c r="C1166" s="32"/>
      <c r="F1166" s="25"/>
      <c r="I1166" s="32"/>
      <c r="L1166" s="24"/>
      <c r="M1166" s="25"/>
    </row>
    <row r="1167" spans="1:13" ht="15.5" x14ac:dyDescent="0.35">
      <c r="A1167" s="2"/>
      <c r="B1167" s="147"/>
      <c r="C1167" s="32"/>
      <c r="F1167" s="25"/>
      <c r="I1167" s="32"/>
      <c r="L1167" s="24"/>
      <c r="M1167" s="25"/>
    </row>
    <row r="1168" spans="1:13" ht="15.5" x14ac:dyDescent="0.35">
      <c r="A1168" s="2"/>
      <c r="B1168" s="147"/>
      <c r="C1168" s="32"/>
      <c r="F1168" s="25"/>
      <c r="I1168" s="32"/>
      <c r="L1168" s="24"/>
      <c r="M1168" s="25"/>
    </row>
    <row r="1169" spans="1:13" ht="15.5" x14ac:dyDescent="0.35">
      <c r="A1169" s="2"/>
      <c r="B1169" s="147"/>
      <c r="C1169" s="32"/>
      <c r="F1169" s="25"/>
      <c r="I1169" s="32"/>
      <c r="L1169" s="24"/>
      <c r="M1169" s="25"/>
    </row>
    <row r="1170" spans="1:13" ht="15.5" x14ac:dyDescent="0.35">
      <c r="A1170" s="2"/>
      <c r="B1170" s="147"/>
      <c r="C1170" s="32"/>
      <c r="F1170" s="25"/>
      <c r="I1170" s="32"/>
      <c r="L1170" s="24"/>
      <c r="M1170" s="25"/>
    </row>
    <row r="1171" spans="1:13" ht="15.5" x14ac:dyDescent="0.35">
      <c r="A1171" s="2"/>
      <c r="B1171" s="147"/>
      <c r="C1171" s="32"/>
      <c r="F1171" s="25"/>
      <c r="I1171" s="32"/>
      <c r="L1171" s="24"/>
      <c r="M1171" s="25"/>
    </row>
    <row r="1172" spans="1:13" ht="15.5" x14ac:dyDescent="0.35">
      <c r="A1172" s="2"/>
      <c r="B1172" s="147"/>
      <c r="C1172" s="32"/>
      <c r="F1172" s="25"/>
      <c r="I1172" s="32"/>
      <c r="L1172" s="24"/>
      <c r="M1172" s="25"/>
    </row>
    <row r="1173" spans="1:13" ht="15.5" x14ac:dyDescent="0.35">
      <c r="A1173" s="2"/>
      <c r="B1173" s="147"/>
      <c r="C1173" s="32"/>
      <c r="F1173" s="25"/>
      <c r="I1173" s="32"/>
      <c r="L1173" s="24"/>
      <c r="M1173" s="25"/>
    </row>
    <row r="1174" spans="1:13" ht="15.5" x14ac:dyDescent="0.35">
      <c r="A1174" s="2"/>
      <c r="B1174" s="147"/>
      <c r="C1174" s="32"/>
      <c r="F1174" s="25"/>
      <c r="I1174" s="32"/>
      <c r="L1174" s="24"/>
      <c r="M1174" s="25"/>
    </row>
    <row r="1175" spans="1:13" ht="15.5" x14ac:dyDescent="0.35">
      <c r="A1175" s="2"/>
      <c r="B1175" s="147"/>
      <c r="C1175" s="32"/>
      <c r="F1175" s="25"/>
      <c r="I1175" s="32"/>
      <c r="L1175" s="24"/>
      <c r="M1175" s="25"/>
    </row>
    <row r="1176" spans="1:13" ht="15.5" x14ac:dyDescent="0.35">
      <c r="A1176" s="2"/>
      <c r="B1176" s="147"/>
      <c r="C1176" s="32"/>
      <c r="F1176" s="25"/>
      <c r="I1176" s="32"/>
      <c r="L1176" s="24"/>
      <c r="M1176" s="25"/>
    </row>
    <row r="1177" spans="1:13" ht="15.5" x14ac:dyDescent="0.35">
      <c r="A1177" s="2"/>
      <c r="B1177" s="147"/>
      <c r="C1177" s="32"/>
      <c r="F1177" s="25"/>
      <c r="I1177" s="32"/>
      <c r="L1177" s="24"/>
      <c r="M1177" s="25"/>
    </row>
    <row r="1178" spans="1:13" ht="15.5" x14ac:dyDescent="0.35">
      <c r="A1178" s="2"/>
      <c r="B1178" s="147"/>
      <c r="C1178" s="32"/>
      <c r="F1178" s="25"/>
      <c r="I1178" s="32"/>
      <c r="L1178" s="24"/>
      <c r="M1178" s="25"/>
    </row>
    <row r="1179" spans="1:13" ht="15.5" x14ac:dyDescent="0.35">
      <c r="A1179" s="2"/>
      <c r="B1179" s="147"/>
      <c r="C1179" s="32"/>
      <c r="F1179" s="25"/>
      <c r="I1179" s="32"/>
      <c r="L1179" s="24"/>
      <c r="M1179" s="25"/>
    </row>
    <row r="1180" spans="1:13" ht="15.5" x14ac:dyDescent="0.35">
      <c r="A1180" s="2"/>
      <c r="B1180" s="147"/>
      <c r="C1180" s="32"/>
      <c r="F1180" s="25"/>
      <c r="I1180" s="32"/>
      <c r="L1180" s="24"/>
      <c r="M1180" s="25"/>
    </row>
    <row r="1181" spans="1:13" ht="15.5" x14ac:dyDescent="0.35">
      <c r="A1181" s="2"/>
      <c r="B1181" s="147"/>
      <c r="C1181" s="32"/>
      <c r="F1181" s="25"/>
      <c r="I1181" s="32"/>
      <c r="L1181" s="24"/>
      <c r="M1181" s="25"/>
    </row>
    <row r="1182" spans="1:13" ht="15.5" x14ac:dyDescent="0.35">
      <c r="A1182" s="2"/>
      <c r="B1182" s="147"/>
      <c r="C1182" s="32"/>
      <c r="F1182" s="25"/>
      <c r="I1182" s="32"/>
      <c r="L1182" s="24"/>
      <c r="M1182" s="25"/>
    </row>
    <row r="1183" spans="1:13" ht="15.5" x14ac:dyDescent="0.35">
      <c r="A1183" s="2"/>
      <c r="B1183" s="147"/>
      <c r="C1183" s="32"/>
      <c r="F1183" s="25"/>
      <c r="I1183" s="32"/>
      <c r="L1183" s="24"/>
      <c r="M1183" s="25"/>
    </row>
    <row r="1184" spans="1:13" ht="15.5" x14ac:dyDescent="0.35">
      <c r="A1184" s="2"/>
      <c r="B1184" s="147"/>
      <c r="C1184" s="32"/>
      <c r="F1184" s="25"/>
      <c r="I1184" s="32"/>
      <c r="L1184" s="24"/>
      <c r="M1184" s="25"/>
    </row>
    <row r="1185" spans="1:13" ht="15.5" x14ac:dyDescent="0.35">
      <c r="A1185" s="2"/>
      <c r="B1185" s="147"/>
      <c r="C1185" s="32"/>
      <c r="F1185" s="25"/>
      <c r="I1185" s="32"/>
      <c r="L1185" s="24"/>
      <c r="M1185" s="25"/>
    </row>
    <row r="1186" spans="1:13" ht="15.5" x14ac:dyDescent="0.35">
      <c r="A1186" s="2"/>
      <c r="B1186" s="147"/>
      <c r="C1186" s="32"/>
      <c r="F1186" s="25"/>
      <c r="I1186" s="32"/>
      <c r="L1186" s="24"/>
      <c r="M1186" s="25"/>
    </row>
    <row r="1187" spans="1:13" ht="15.5" x14ac:dyDescent="0.35">
      <c r="A1187" s="2"/>
      <c r="B1187" s="147"/>
      <c r="C1187" s="32"/>
      <c r="F1187" s="25"/>
      <c r="I1187" s="32"/>
      <c r="L1187" s="24"/>
      <c r="M1187" s="25"/>
    </row>
    <row r="1188" spans="1:13" ht="15.5" x14ac:dyDescent="0.35">
      <c r="A1188" s="2"/>
      <c r="B1188" s="147"/>
      <c r="C1188" s="32"/>
      <c r="F1188" s="25"/>
      <c r="I1188" s="32"/>
      <c r="L1188" s="24"/>
      <c r="M1188" s="25"/>
    </row>
    <row r="1189" spans="1:13" ht="15.5" x14ac:dyDescent="0.35">
      <c r="A1189" s="2"/>
      <c r="B1189" s="147"/>
      <c r="C1189" s="32"/>
      <c r="F1189" s="25"/>
      <c r="I1189" s="32"/>
      <c r="L1189" s="24"/>
      <c r="M1189" s="25"/>
    </row>
    <row r="1190" spans="1:13" ht="15.5" x14ac:dyDescent="0.35">
      <c r="A1190" s="2"/>
      <c r="B1190" s="147"/>
      <c r="C1190" s="32"/>
      <c r="F1190" s="25"/>
      <c r="I1190" s="32"/>
      <c r="L1190" s="24"/>
      <c r="M1190" s="25"/>
    </row>
    <row r="1191" spans="1:13" ht="15.5" x14ac:dyDescent="0.35">
      <c r="A1191" s="2"/>
      <c r="B1191" s="147"/>
      <c r="C1191" s="32"/>
      <c r="F1191" s="25"/>
      <c r="I1191" s="32"/>
      <c r="L1191" s="24"/>
      <c r="M1191" s="25"/>
    </row>
    <row r="1192" spans="1:13" ht="15.5" x14ac:dyDescent="0.35">
      <c r="A1192" s="2"/>
      <c r="B1192" s="147"/>
      <c r="C1192" s="32"/>
      <c r="F1192" s="25"/>
      <c r="I1192" s="32"/>
      <c r="L1192" s="24"/>
      <c r="M1192" s="25"/>
    </row>
    <row r="1193" spans="1:13" ht="15.5" x14ac:dyDescent="0.35">
      <c r="A1193" s="2"/>
      <c r="B1193" s="147"/>
      <c r="C1193" s="32"/>
      <c r="F1193" s="25"/>
      <c r="I1193" s="32"/>
      <c r="L1193" s="24"/>
      <c r="M1193" s="25"/>
    </row>
    <row r="1194" spans="1:13" ht="15.5" x14ac:dyDescent="0.35">
      <c r="A1194" s="2"/>
      <c r="B1194" s="147"/>
      <c r="C1194" s="32"/>
      <c r="F1194" s="25"/>
      <c r="I1194" s="32"/>
      <c r="L1194" s="24"/>
      <c r="M1194" s="25"/>
    </row>
    <row r="1195" spans="1:13" ht="15.5" x14ac:dyDescent="0.35">
      <c r="A1195" s="2"/>
      <c r="B1195" s="147"/>
      <c r="C1195" s="32"/>
      <c r="F1195" s="25"/>
      <c r="I1195" s="32"/>
      <c r="L1195" s="24"/>
      <c r="M1195" s="25"/>
    </row>
    <row r="1196" spans="1:13" ht="15.5" x14ac:dyDescent="0.35">
      <c r="A1196" s="2"/>
      <c r="B1196" s="147"/>
      <c r="C1196" s="32"/>
      <c r="F1196" s="25"/>
      <c r="I1196" s="32"/>
      <c r="L1196" s="24"/>
      <c r="M1196" s="25"/>
    </row>
    <row r="1197" spans="1:13" ht="15.5" x14ac:dyDescent="0.35">
      <c r="A1197" s="2"/>
      <c r="B1197" s="147"/>
      <c r="C1197" s="32"/>
      <c r="F1197" s="25"/>
      <c r="I1197" s="32"/>
      <c r="L1197" s="24"/>
      <c r="M1197" s="25"/>
    </row>
    <row r="1198" spans="1:13" ht="15.5" x14ac:dyDescent="0.35">
      <c r="A1198" s="2"/>
      <c r="B1198" s="147"/>
      <c r="C1198" s="32"/>
      <c r="F1198" s="25"/>
      <c r="I1198" s="32"/>
      <c r="L1198" s="24"/>
      <c r="M1198" s="25"/>
    </row>
    <row r="1199" spans="1:13" ht="15.5" x14ac:dyDescent="0.35">
      <c r="A1199" s="2"/>
      <c r="B1199" s="147"/>
      <c r="C1199" s="32"/>
      <c r="F1199" s="25"/>
      <c r="L1199" s="24"/>
      <c r="M1199" s="25"/>
    </row>
    <row r="1200" spans="1:13" ht="15.5" x14ac:dyDescent="0.35">
      <c r="A1200" s="2"/>
      <c r="B1200" s="147"/>
      <c r="C1200" s="32"/>
      <c r="F1200" s="25"/>
      <c r="L1200" s="24"/>
      <c r="M1200" s="25"/>
    </row>
    <row r="1201" spans="1:13" ht="15.5" x14ac:dyDescent="0.35">
      <c r="A1201" s="2"/>
      <c r="B1201" s="147"/>
      <c r="C1201" s="32"/>
      <c r="F1201" s="25"/>
      <c r="L1201" s="24"/>
      <c r="M1201" s="25"/>
    </row>
    <row r="1202" spans="1:13" ht="15.5" x14ac:dyDescent="0.35">
      <c r="A1202" s="2"/>
      <c r="B1202" s="147"/>
      <c r="C1202" s="32"/>
      <c r="F1202" s="25"/>
      <c r="L1202" s="24"/>
      <c r="M1202" s="25"/>
    </row>
    <row r="1203" spans="1:13" ht="15.5" x14ac:dyDescent="0.35">
      <c r="A1203" s="2"/>
      <c r="B1203" s="147"/>
      <c r="C1203" s="32"/>
      <c r="F1203" s="25"/>
      <c r="L1203" s="24"/>
      <c r="M1203" s="25"/>
    </row>
    <row r="1204" spans="1:13" ht="15.5" x14ac:dyDescent="0.35">
      <c r="A1204" s="2"/>
      <c r="B1204" s="147"/>
      <c r="C1204" s="32"/>
      <c r="F1204" s="25"/>
      <c r="L1204" s="24"/>
      <c r="M1204" s="25"/>
    </row>
    <row r="1205" spans="1:13" ht="15.5" x14ac:dyDescent="0.35">
      <c r="A1205" s="2"/>
      <c r="B1205" s="147"/>
      <c r="C1205" s="32"/>
      <c r="F1205" s="25"/>
      <c r="L1205" s="24"/>
      <c r="M1205" s="25"/>
    </row>
    <row r="1206" spans="1:13" ht="15.5" x14ac:dyDescent="0.35">
      <c r="A1206" s="2"/>
      <c r="B1206" s="147"/>
      <c r="C1206" s="32"/>
      <c r="F1206" s="25"/>
      <c r="L1206" s="24"/>
      <c r="M1206" s="25"/>
    </row>
    <row r="1207" spans="1:13" ht="15.5" x14ac:dyDescent="0.35">
      <c r="A1207" s="2"/>
      <c r="B1207" s="147"/>
      <c r="C1207" s="32"/>
      <c r="F1207" s="25"/>
      <c r="L1207" s="24"/>
      <c r="M1207" s="25"/>
    </row>
    <row r="1208" spans="1:13" ht="15.5" x14ac:dyDescent="0.35">
      <c r="A1208" s="2"/>
      <c r="B1208" s="147"/>
      <c r="C1208" s="32"/>
      <c r="F1208" s="25"/>
      <c r="L1208" s="24"/>
      <c r="M1208" s="25"/>
    </row>
    <row r="1209" spans="1:13" ht="15.5" x14ac:dyDescent="0.35">
      <c r="A1209" s="2"/>
      <c r="B1209" s="147"/>
      <c r="C1209" s="32"/>
      <c r="F1209" s="25"/>
      <c r="L1209" s="24"/>
      <c r="M1209" s="25"/>
    </row>
    <row r="1210" spans="1:13" ht="15.5" x14ac:dyDescent="0.35">
      <c r="A1210" s="2"/>
      <c r="B1210" s="147"/>
      <c r="C1210" s="32"/>
      <c r="F1210" s="25"/>
      <c r="L1210" s="24"/>
      <c r="M1210" s="25"/>
    </row>
    <row r="1211" spans="1:13" ht="15.5" x14ac:dyDescent="0.35">
      <c r="A1211" s="2"/>
      <c r="B1211" s="147"/>
      <c r="C1211" s="32"/>
      <c r="F1211" s="25"/>
      <c r="L1211" s="24"/>
      <c r="M1211" s="25"/>
    </row>
    <row r="1212" spans="1:13" ht="15.5" x14ac:dyDescent="0.35">
      <c r="A1212" s="2"/>
      <c r="B1212" s="147"/>
      <c r="C1212" s="32"/>
      <c r="F1212" s="25"/>
      <c r="L1212" s="24"/>
      <c r="M1212" s="25"/>
    </row>
    <row r="1213" spans="1:13" ht="15.5" x14ac:dyDescent="0.35">
      <c r="A1213" s="2"/>
      <c r="B1213" s="147"/>
      <c r="C1213" s="32"/>
      <c r="F1213" s="25"/>
      <c r="L1213" s="24"/>
      <c r="M1213" s="25"/>
    </row>
    <row r="1214" spans="1:13" ht="15.5" x14ac:dyDescent="0.35">
      <c r="A1214" s="2"/>
      <c r="B1214" s="147"/>
      <c r="C1214" s="32"/>
      <c r="F1214" s="25"/>
      <c r="L1214" s="24"/>
      <c r="M1214" s="25"/>
    </row>
    <row r="1215" spans="1:13" ht="15.5" x14ac:dyDescent="0.35">
      <c r="A1215" s="2"/>
      <c r="B1215" s="147"/>
      <c r="C1215" s="32"/>
      <c r="F1215" s="25"/>
      <c r="L1215" s="24"/>
      <c r="M1215" s="25"/>
    </row>
    <row r="1216" spans="1:13" ht="15.5" x14ac:dyDescent="0.35">
      <c r="A1216" s="2"/>
      <c r="B1216" s="147"/>
      <c r="C1216" s="32"/>
      <c r="F1216" s="25"/>
      <c r="L1216" s="24"/>
      <c r="M1216" s="25"/>
    </row>
    <row r="1217" spans="1:13" ht="15.5" x14ac:dyDescent="0.35">
      <c r="A1217" s="2"/>
      <c r="B1217" s="147"/>
      <c r="C1217" s="32"/>
      <c r="F1217" s="25"/>
      <c r="L1217" s="24"/>
      <c r="M1217" s="25"/>
    </row>
    <row r="1218" spans="1:13" ht="15.5" x14ac:dyDescent="0.35">
      <c r="A1218" s="2"/>
      <c r="B1218" s="147"/>
      <c r="C1218" s="32"/>
      <c r="F1218" s="25"/>
      <c r="L1218" s="24"/>
      <c r="M1218" s="25"/>
    </row>
    <row r="1219" spans="1:13" ht="15.5" x14ac:dyDescent="0.35">
      <c r="A1219" s="2"/>
      <c r="B1219" s="147"/>
      <c r="C1219" s="32"/>
      <c r="F1219" s="25"/>
      <c r="L1219" s="24"/>
      <c r="M1219" s="25"/>
    </row>
    <row r="1220" spans="1:13" ht="15.5" x14ac:dyDescent="0.35">
      <c r="A1220" s="2"/>
      <c r="B1220" s="147"/>
      <c r="C1220" s="32"/>
      <c r="F1220" s="25"/>
      <c r="L1220" s="24"/>
      <c r="M1220" s="25"/>
    </row>
    <row r="1221" spans="1:13" ht="15.5" x14ac:dyDescent="0.35">
      <c r="A1221" s="2"/>
      <c r="B1221" s="147"/>
      <c r="C1221" s="32"/>
      <c r="F1221" s="25"/>
      <c r="L1221" s="24"/>
      <c r="M1221" s="25"/>
    </row>
    <row r="1222" spans="1:13" ht="15.5" x14ac:dyDescent="0.35">
      <c r="A1222" s="2"/>
      <c r="B1222" s="147"/>
      <c r="C1222" s="32"/>
      <c r="F1222" s="25"/>
      <c r="L1222" s="24"/>
      <c r="M1222" s="25"/>
    </row>
    <row r="1223" spans="1:13" ht="15.5" x14ac:dyDescent="0.35">
      <c r="A1223" s="2"/>
      <c r="B1223" s="147"/>
      <c r="C1223" s="32"/>
      <c r="F1223" s="25"/>
      <c r="L1223" s="24"/>
      <c r="M1223" s="25"/>
    </row>
    <row r="1224" spans="1:13" ht="15.5" x14ac:dyDescent="0.35">
      <c r="A1224" s="2"/>
      <c r="B1224" s="147"/>
      <c r="C1224" s="32"/>
      <c r="F1224" s="25"/>
      <c r="L1224" s="24"/>
      <c r="M1224" s="25"/>
    </row>
    <row r="1225" spans="1:13" ht="15.5" x14ac:dyDescent="0.35">
      <c r="A1225" s="2"/>
      <c r="B1225" s="147"/>
      <c r="C1225" s="32"/>
      <c r="F1225" s="25"/>
      <c r="L1225" s="24"/>
      <c r="M1225" s="25"/>
    </row>
    <row r="1226" spans="1:13" ht="15.5" x14ac:dyDescent="0.35">
      <c r="A1226" s="2"/>
      <c r="B1226" s="147"/>
      <c r="C1226" s="32"/>
      <c r="F1226" s="25"/>
      <c r="L1226" s="24"/>
      <c r="M1226" s="25"/>
    </row>
    <row r="1227" spans="1:13" ht="15.5" x14ac:dyDescent="0.35">
      <c r="A1227" s="2"/>
      <c r="B1227" s="147"/>
      <c r="C1227" s="32"/>
      <c r="F1227" s="25"/>
      <c r="L1227" s="24"/>
      <c r="M1227" s="25"/>
    </row>
    <row r="1228" spans="1:13" ht="15.5" x14ac:dyDescent="0.35">
      <c r="A1228" s="2"/>
      <c r="B1228" s="147"/>
      <c r="C1228" s="32"/>
      <c r="F1228" s="25"/>
      <c r="L1228" s="24"/>
      <c r="M1228" s="25"/>
    </row>
    <row r="1229" spans="1:13" ht="15.5" x14ac:dyDescent="0.35">
      <c r="A1229" s="2"/>
      <c r="B1229" s="147"/>
      <c r="C1229" s="32"/>
      <c r="F1229" s="25"/>
      <c r="L1229" s="24"/>
      <c r="M1229" s="25"/>
    </row>
    <row r="1230" spans="1:13" ht="15.5" x14ac:dyDescent="0.35">
      <c r="A1230" s="2"/>
      <c r="B1230" s="147"/>
      <c r="C1230" s="32"/>
      <c r="F1230" s="25"/>
      <c r="L1230" s="24"/>
      <c r="M1230" s="25"/>
    </row>
    <row r="1231" spans="1:13" ht="15.5" x14ac:dyDescent="0.35">
      <c r="A1231" s="2"/>
      <c r="B1231" s="147"/>
      <c r="C1231" s="32"/>
      <c r="F1231" s="25"/>
      <c r="L1231" s="24"/>
      <c r="M1231" s="25"/>
    </row>
    <row r="1232" spans="1:13" ht="15.5" x14ac:dyDescent="0.35">
      <c r="A1232" s="2"/>
      <c r="B1232" s="147"/>
      <c r="C1232" s="32"/>
      <c r="F1232" s="25"/>
      <c r="L1232" s="24"/>
      <c r="M1232" s="25"/>
    </row>
    <row r="1233" spans="1:13" ht="15.5" x14ac:dyDescent="0.35">
      <c r="A1233" s="2"/>
      <c r="B1233" s="147"/>
      <c r="C1233" s="32"/>
      <c r="F1233" s="25"/>
      <c r="L1233" s="24"/>
      <c r="M1233" s="25"/>
    </row>
    <row r="1234" spans="1:13" ht="15.5" x14ac:dyDescent="0.35">
      <c r="A1234" s="2"/>
      <c r="B1234" s="147"/>
      <c r="C1234" s="32"/>
      <c r="F1234" s="25"/>
      <c r="L1234" s="24"/>
      <c r="M1234" s="25"/>
    </row>
    <row r="1235" spans="1:13" ht="15.5" x14ac:dyDescent="0.35">
      <c r="A1235" s="2"/>
      <c r="B1235" s="147"/>
      <c r="C1235" s="32"/>
      <c r="F1235" s="25"/>
      <c r="L1235" s="24"/>
      <c r="M1235" s="25"/>
    </row>
    <row r="1236" spans="1:13" ht="15.5" x14ac:dyDescent="0.35">
      <c r="A1236" s="2"/>
      <c r="B1236" s="147"/>
      <c r="C1236" s="32"/>
      <c r="F1236" s="25"/>
      <c r="L1236" s="24"/>
      <c r="M1236" s="25"/>
    </row>
    <row r="1237" spans="1:13" ht="15.5" x14ac:dyDescent="0.35">
      <c r="A1237" s="2"/>
      <c r="B1237" s="147"/>
      <c r="C1237" s="32"/>
      <c r="F1237" s="25"/>
      <c r="L1237" s="24"/>
      <c r="M1237" s="25"/>
    </row>
    <row r="1238" spans="1:13" ht="15.5" x14ac:dyDescent="0.35">
      <c r="A1238" s="2"/>
      <c r="B1238" s="147"/>
      <c r="C1238" s="32"/>
      <c r="F1238" s="25"/>
      <c r="L1238" s="24"/>
      <c r="M1238" s="25"/>
    </row>
    <row r="1239" spans="1:13" ht="15.5" x14ac:dyDescent="0.35">
      <c r="A1239" s="2"/>
      <c r="B1239" s="147"/>
      <c r="C1239" s="32"/>
      <c r="F1239" s="25"/>
      <c r="L1239" s="24"/>
      <c r="M1239" s="25"/>
    </row>
    <row r="1240" spans="1:13" ht="15.5" x14ac:dyDescent="0.35">
      <c r="A1240" s="2"/>
      <c r="B1240" s="147"/>
      <c r="C1240" s="32"/>
      <c r="F1240" s="25"/>
      <c r="L1240" s="24"/>
      <c r="M1240" s="25"/>
    </row>
    <row r="1241" spans="1:13" ht="15.5" x14ac:dyDescent="0.35">
      <c r="A1241" s="2"/>
      <c r="B1241" s="147"/>
      <c r="C1241" s="32"/>
      <c r="F1241" s="25"/>
      <c r="L1241" s="24"/>
      <c r="M1241" s="25"/>
    </row>
    <row r="1242" spans="1:13" ht="15.5" x14ac:dyDescent="0.35">
      <c r="A1242" s="2"/>
      <c r="B1242" s="147"/>
      <c r="C1242" s="32"/>
      <c r="F1242" s="25"/>
      <c r="L1242" s="24"/>
      <c r="M1242" s="25"/>
    </row>
    <row r="1243" spans="1:13" ht="15.5" x14ac:dyDescent="0.35">
      <c r="A1243" s="2"/>
      <c r="B1243" s="147"/>
      <c r="C1243" s="32"/>
      <c r="F1243" s="25"/>
      <c r="L1243" s="24"/>
      <c r="M1243" s="25"/>
    </row>
    <row r="1244" spans="1:13" ht="15.5" x14ac:dyDescent="0.35">
      <c r="A1244" s="2"/>
      <c r="B1244" s="147"/>
      <c r="C1244" s="32"/>
      <c r="F1244" s="25"/>
      <c r="L1244" s="24"/>
      <c r="M1244" s="25"/>
    </row>
    <row r="1245" spans="1:13" ht="15.5" x14ac:dyDescent="0.35">
      <c r="A1245" s="2"/>
      <c r="B1245" s="147"/>
      <c r="C1245" s="32"/>
      <c r="F1245" s="25"/>
      <c r="L1245" s="24"/>
      <c r="M1245" s="25"/>
    </row>
    <row r="1246" spans="1:13" ht="15.5" x14ac:dyDescent="0.35">
      <c r="A1246" s="2"/>
      <c r="B1246" s="147"/>
      <c r="C1246" s="32"/>
      <c r="F1246" s="25"/>
      <c r="L1246" s="24"/>
      <c r="M1246" s="25"/>
    </row>
    <row r="1247" spans="1:13" ht="15.5" x14ac:dyDescent="0.35">
      <c r="A1247" s="2"/>
      <c r="B1247" s="147"/>
      <c r="C1247" s="32"/>
      <c r="F1247" s="25"/>
      <c r="L1247" s="24"/>
      <c r="M1247" s="25"/>
    </row>
    <row r="1248" spans="1:13" ht="15.5" x14ac:dyDescent="0.35">
      <c r="A1248" s="2"/>
      <c r="B1248" s="147"/>
      <c r="C1248" s="32"/>
      <c r="F1248" s="25"/>
      <c r="L1248" s="24"/>
      <c r="M1248" s="25"/>
    </row>
    <row r="1249" spans="1:13" ht="15.5" x14ac:dyDescent="0.35">
      <c r="A1249" s="2"/>
      <c r="B1249" s="147"/>
      <c r="C1249" s="32"/>
      <c r="F1249" s="25"/>
      <c r="L1249" s="24"/>
      <c r="M1249" s="25"/>
    </row>
    <row r="1250" spans="1:13" ht="15.5" x14ac:dyDescent="0.35">
      <c r="A1250" s="2"/>
      <c r="B1250" s="147"/>
      <c r="C1250" s="32"/>
      <c r="F1250" s="25"/>
      <c r="L1250" s="24"/>
      <c r="M1250" s="25"/>
    </row>
    <row r="1251" spans="1:13" ht="15.5" x14ac:dyDescent="0.35">
      <c r="A1251" s="2"/>
      <c r="B1251" s="147"/>
      <c r="C1251" s="32"/>
      <c r="F1251" s="25"/>
      <c r="L1251" s="24"/>
      <c r="M1251" s="25"/>
    </row>
    <row r="1252" spans="1:13" ht="15.5" x14ac:dyDescent="0.35">
      <c r="A1252" s="2"/>
      <c r="B1252" s="147"/>
      <c r="C1252" s="32"/>
      <c r="F1252" s="25"/>
      <c r="L1252" s="24"/>
      <c r="M1252" s="25"/>
    </row>
    <row r="1253" spans="1:13" ht="15.5" x14ac:dyDescent="0.35">
      <c r="A1253" s="2"/>
      <c r="B1253" s="147"/>
      <c r="C1253" s="32"/>
      <c r="F1253" s="25"/>
      <c r="L1253" s="24"/>
      <c r="M1253" s="25"/>
    </row>
    <row r="1254" spans="1:13" ht="15.5" x14ac:dyDescent="0.35">
      <c r="A1254" s="2"/>
      <c r="B1254" s="147"/>
      <c r="C1254" s="32"/>
      <c r="F1254" s="25"/>
      <c r="L1254" s="24"/>
      <c r="M1254" s="25"/>
    </row>
    <row r="1255" spans="1:13" ht="15.5" x14ac:dyDescent="0.35">
      <c r="A1255" s="2"/>
      <c r="B1255" s="147"/>
      <c r="C1255" s="32"/>
      <c r="F1255" s="25"/>
      <c r="L1255" s="24"/>
      <c r="M1255" s="25"/>
    </row>
    <row r="1256" spans="1:13" ht="15.5" x14ac:dyDescent="0.35">
      <c r="A1256" s="2"/>
      <c r="B1256" s="147"/>
      <c r="C1256" s="32"/>
      <c r="F1256" s="25"/>
      <c r="L1256" s="24"/>
      <c r="M1256" s="25"/>
    </row>
    <row r="1257" spans="1:13" ht="15.5" x14ac:dyDescent="0.35">
      <c r="A1257" s="2"/>
      <c r="B1257" s="147"/>
      <c r="C1257" s="32"/>
      <c r="F1257" s="25"/>
      <c r="L1257" s="24"/>
      <c r="M1257" s="25"/>
    </row>
    <row r="1258" spans="1:13" ht="15.5" x14ac:dyDescent="0.35">
      <c r="A1258" s="2"/>
      <c r="B1258" s="147"/>
      <c r="C1258" s="32"/>
      <c r="F1258" s="25"/>
      <c r="L1258" s="24"/>
      <c r="M1258" s="25"/>
    </row>
    <row r="1259" spans="1:13" ht="15.5" x14ac:dyDescent="0.35">
      <c r="A1259" s="2"/>
      <c r="B1259" s="147"/>
      <c r="C1259" s="32"/>
      <c r="F1259" s="25"/>
      <c r="L1259" s="24"/>
      <c r="M1259" s="25"/>
    </row>
    <row r="1260" spans="1:13" ht="15.5" x14ac:dyDescent="0.35">
      <c r="A1260" s="2"/>
      <c r="B1260" s="147"/>
      <c r="C1260" s="32"/>
      <c r="F1260" s="25"/>
      <c r="L1260" s="24"/>
      <c r="M1260" s="25"/>
    </row>
    <row r="1261" spans="1:13" ht="15.5" x14ac:dyDescent="0.35">
      <c r="A1261" s="2"/>
      <c r="B1261" s="147"/>
      <c r="C1261" s="32"/>
      <c r="F1261" s="25"/>
      <c r="L1261" s="24"/>
      <c r="M1261" s="25"/>
    </row>
    <row r="1262" spans="1:13" ht="15.5" x14ac:dyDescent="0.35">
      <c r="A1262" s="2"/>
      <c r="B1262" s="147"/>
      <c r="C1262" s="32"/>
      <c r="F1262" s="25"/>
      <c r="L1262" s="24"/>
      <c r="M1262" s="25"/>
    </row>
    <row r="1263" spans="1:13" ht="15.5" x14ac:dyDescent="0.35">
      <c r="A1263" s="2"/>
      <c r="B1263" s="147"/>
      <c r="C1263" s="32"/>
      <c r="F1263" s="25"/>
      <c r="L1263" s="24"/>
      <c r="M1263" s="25"/>
    </row>
    <row r="1264" spans="1:13" ht="15.5" x14ac:dyDescent="0.35">
      <c r="A1264" s="2"/>
      <c r="B1264" s="147"/>
      <c r="C1264" s="32"/>
      <c r="F1264" s="25"/>
      <c r="L1264" s="24"/>
      <c r="M1264" s="25"/>
    </row>
    <row r="1265" spans="1:13" ht="15.5" x14ac:dyDescent="0.35">
      <c r="A1265" s="2"/>
      <c r="B1265" s="147"/>
      <c r="C1265" s="32"/>
      <c r="F1265" s="25"/>
      <c r="L1265" s="24"/>
      <c r="M1265" s="25"/>
    </row>
    <row r="1266" spans="1:13" ht="15.5" x14ac:dyDescent="0.35">
      <c r="A1266" s="2"/>
      <c r="B1266" s="147"/>
      <c r="C1266" s="32"/>
      <c r="F1266" s="25"/>
      <c r="L1266" s="24"/>
      <c r="M1266" s="25"/>
    </row>
    <row r="1267" spans="1:13" ht="15.5" x14ac:dyDescent="0.35">
      <c r="A1267" s="2"/>
      <c r="B1267" s="147"/>
      <c r="C1267" s="32"/>
      <c r="F1267" s="25"/>
      <c r="L1267" s="24"/>
      <c r="M1267" s="25"/>
    </row>
    <row r="1268" spans="1:13" ht="15.5" x14ac:dyDescent="0.35">
      <c r="A1268" s="2"/>
      <c r="B1268" s="147"/>
      <c r="C1268" s="32"/>
      <c r="F1268" s="25"/>
      <c r="L1268" s="24"/>
      <c r="M1268" s="25"/>
    </row>
    <row r="1269" spans="1:13" ht="15.5" x14ac:dyDescent="0.35">
      <c r="A1269" s="2"/>
      <c r="B1269" s="147"/>
      <c r="C1269" s="32"/>
      <c r="F1269" s="25"/>
      <c r="L1269" s="24"/>
      <c r="M1269" s="25"/>
    </row>
    <row r="1270" spans="1:13" ht="15.5" x14ac:dyDescent="0.35">
      <c r="A1270" s="2"/>
      <c r="B1270" s="147"/>
      <c r="C1270" s="32"/>
      <c r="F1270" s="25"/>
      <c r="L1270" s="24"/>
      <c r="M1270" s="25"/>
    </row>
    <row r="1271" spans="1:13" ht="15.5" x14ac:dyDescent="0.35">
      <c r="A1271" s="2"/>
      <c r="B1271" s="147"/>
      <c r="C1271" s="32"/>
      <c r="F1271" s="25"/>
      <c r="L1271" s="24"/>
      <c r="M1271" s="25"/>
    </row>
    <row r="1272" spans="1:13" ht="15.5" x14ac:dyDescent="0.35">
      <c r="A1272" s="2"/>
      <c r="B1272" s="147"/>
      <c r="C1272" s="32"/>
      <c r="F1272" s="25"/>
      <c r="L1272" s="24"/>
      <c r="M1272" s="25"/>
    </row>
    <row r="1273" spans="1:13" ht="15.5" x14ac:dyDescent="0.35">
      <c r="A1273" s="2"/>
      <c r="B1273" s="147"/>
      <c r="C1273" s="32"/>
      <c r="F1273" s="25"/>
      <c r="L1273" s="24"/>
      <c r="M1273" s="25"/>
    </row>
    <row r="1274" spans="1:13" ht="15.5" x14ac:dyDescent="0.35">
      <c r="A1274" s="2"/>
      <c r="B1274" s="147"/>
      <c r="C1274" s="32"/>
      <c r="F1274" s="25"/>
      <c r="L1274" s="24"/>
      <c r="M1274" s="25"/>
    </row>
    <row r="1275" spans="1:13" ht="15.5" x14ac:dyDescent="0.35">
      <c r="A1275" s="2"/>
      <c r="B1275" s="147"/>
      <c r="C1275" s="32"/>
      <c r="F1275" s="25"/>
      <c r="L1275" s="24"/>
      <c r="M1275" s="25"/>
    </row>
    <row r="1276" spans="1:13" ht="15.5" x14ac:dyDescent="0.35">
      <c r="A1276" s="2"/>
      <c r="B1276" s="147"/>
      <c r="C1276" s="32"/>
      <c r="F1276" s="25"/>
      <c r="L1276" s="24"/>
      <c r="M1276" s="25"/>
    </row>
    <row r="1277" spans="1:13" ht="15.5" x14ac:dyDescent="0.35">
      <c r="A1277" s="2"/>
      <c r="B1277" s="147"/>
      <c r="C1277" s="32"/>
      <c r="F1277" s="25"/>
      <c r="L1277" s="24"/>
      <c r="M1277" s="25"/>
    </row>
    <row r="1278" spans="1:13" ht="15.5" x14ac:dyDescent="0.35">
      <c r="A1278" s="2"/>
      <c r="B1278" s="147"/>
      <c r="C1278" s="32"/>
      <c r="F1278" s="25"/>
      <c r="L1278" s="24"/>
      <c r="M1278" s="25"/>
    </row>
    <row r="1279" spans="1:13" ht="15.5" x14ac:dyDescent="0.35">
      <c r="A1279" s="2"/>
      <c r="B1279" s="147"/>
      <c r="C1279" s="32"/>
      <c r="F1279" s="25"/>
      <c r="L1279" s="24"/>
      <c r="M1279" s="25"/>
    </row>
    <row r="1280" spans="1:13" ht="15.5" x14ac:dyDescent="0.35">
      <c r="A1280" s="2"/>
      <c r="B1280" s="147"/>
      <c r="C1280" s="32"/>
      <c r="F1280" s="25"/>
      <c r="L1280" s="24"/>
      <c r="M1280" s="25"/>
    </row>
    <row r="1281" spans="1:13" ht="15.5" x14ac:dyDescent="0.35">
      <c r="A1281" s="2"/>
      <c r="B1281" s="147"/>
      <c r="C1281" s="32"/>
      <c r="F1281" s="25"/>
      <c r="L1281" s="24"/>
      <c r="M1281" s="25"/>
    </row>
    <row r="1282" spans="1:13" ht="15.5" x14ac:dyDescent="0.35">
      <c r="A1282" s="2"/>
      <c r="B1282" s="147"/>
      <c r="C1282" s="32"/>
      <c r="F1282" s="25"/>
      <c r="L1282" s="24"/>
      <c r="M1282" s="25"/>
    </row>
    <row r="1283" spans="1:13" ht="15.5" x14ac:dyDescent="0.35">
      <c r="A1283" s="2"/>
      <c r="B1283" s="147"/>
      <c r="C1283" s="32"/>
      <c r="F1283" s="25"/>
      <c r="L1283" s="24"/>
      <c r="M1283" s="25"/>
    </row>
    <row r="1284" spans="1:13" ht="15.5" x14ac:dyDescent="0.35">
      <c r="A1284" s="2"/>
      <c r="B1284" s="147"/>
      <c r="C1284" s="32"/>
      <c r="F1284" s="25"/>
      <c r="L1284" s="24"/>
      <c r="M1284" s="25"/>
    </row>
    <row r="1285" spans="1:13" ht="15.5" x14ac:dyDescent="0.35">
      <c r="A1285" s="2"/>
      <c r="B1285" s="147"/>
      <c r="C1285" s="32"/>
      <c r="F1285" s="25"/>
      <c r="L1285" s="24"/>
      <c r="M1285" s="25"/>
    </row>
    <row r="1286" spans="1:13" ht="15.5" x14ac:dyDescent="0.35">
      <c r="A1286" s="2"/>
      <c r="B1286" s="147"/>
      <c r="C1286" s="32"/>
      <c r="F1286" s="25"/>
      <c r="L1286" s="24"/>
      <c r="M1286" s="25"/>
    </row>
    <row r="1287" spans="1:13" ht="15.5" x14ac:dyDescent="0.35">
      <c r="A1287" s="2"/>
      <c r="B1287" s="147"/>
      <c r="C1287" s="32"/>
      <c r="F1287" s="25"/>
      <c r="L1287" s="24"/>
      <c r="M1287" s="25"/>
    </row>
    <row r="1288" spans="1:13" ht="15.5" x14ac:dyDescent="0.35">
      <c r="A1288" s="2"/>
      <c r="B1288" s="147"/>
      <c r="C1288" s="32"/>
      <c r="F1288" s="25"/>
      <c r="L1288" s="24"/>
      <c r="M1288" s="25"/>
    </row>
    <row r="1289" spans="1:13" ht="15.5" x14ac:dyDescent="0.35">
      <c r="A1289" s="2"/>
      <c r="B1289" s="147"/>
      <c r="C1289" s="32"/>
      <c r="F1289" s="25"/>
      <c r="L1289" s="24"/>
      <c r="M1289" s="25"/>
    </row>
    <row r="1290" spans="1:13" ht="15.5" x14ac:dyDescent="0.35">
      <c r="A1290" s="2"/>
      <c r="B1290" s="147"/>
      <c r="C1290" s="32"/>
      <c r="F1290" s="25"/>
      <c r="L1290" s="24"/>
      <c r="M1290" s="25"/>
    </row>
    <row r="1291" spans="1:13" ht="15.5" x14ac:dyDescent="0.35">
      <c r="A1291" s="2"/>
      <c r="B1291" s="147"/>
      <c r="C1291" s="32"/>
      <c r="F1291" s="25"/>
      <c r="L1291" s="24"/>
      <c r="M1291" s="25"/>
    </row>
    <row r="1292" spans="1:13" ht="15.5" x14ac:dyDescent="0.35">
      <c r="A1292" s="2"/>
      <c r="B1292" s="147"/>
      <c r="C1292" s="32"/>
      <c r="F1292" s="25"/>
      <c r="L1292" s="24"/>
      <c r="M1292" s="25"/>
    </row>
    <row r="1293" spans="1:13" ht="15.5" x14ac:dyDescent="0.35">
      <c r="A1293" s="2"/>
      <c r="B1293" s="147"/>
      <c r="C1293" s="32"/>
      <c r="F1293" s="25"/>
      <c r="L1293" s="24"/>
      <c r="M1293" s="25"/>
    </row>
    <row r="1294" spans="1:13" ht="15.5" x14ac:dyDescent="0.35">
      <c r="A1294" s="2"/>
      <c r="B1294" s="147"/>
      <c r="C1294" s="32"/>
      <c r="F1294" s="25"/>
      <c r="L1294" s="24"/>
      <c r="M1294" s="25"/>
    </row>
    <row r="1295" spans="1:13" ht="15.5" x14ac:dyDescent="0.35">
      <c r="A1295" s="2"/>
      <c r="B1295" s="147"/>
      <c r="C1295" s="32"/>
      <c r="F1295" s="25"/>
      <c r="L1295" s="24"/>
      <c r="M1295" s="25"/>
    </row>
    <row r="1296" spans="1:13" ht="15.5" x14ac:dyDescent="0.35">
      <c r="A1296" s="2"/>
      <c r="B1296" s="147"/>
      <c r="C1296" s="32"/>
      <c r="F1296" s="25"/>
      <c r="L1296" s="24"/>
      <c r="M1296" s="25"/>
    </row>
    <row r="1297" spans="1:13" ht="15.5" x14ac:dyDescent="0.35">
      <c r="A1297" s="2"/>
      <c r="B1297" s="147"/>
      <c r="C1297" s="32"/>
      <c r="F1297" s="25"/>
      <c r="L1297" s="24"/>
      <c r="M1297" s="25"/>
    </row>
    <row r="1298" spans="1:13" ht="15.5" x14ac:dyDescent="0.35">
      <c r="A1298" s="2"/>
      <c r="B1298" s="147"/>
      <c r="C1298" s="32"/>
      <c r="F1298" s="25"/>
      <c r="L1298" s="24"/>
      <c r="M1298" s="25"/>
    </row>
    <row r="1299" spans="1:13" ht="15.5" x14ac:dyDescent="0.35">
      <c r="A1299" s="2"/>
      <c r="B1299" s="147"/>
      <c r="C1299" s="32"/>
      <c r="F1299" s="25"/>
      <c r="L1299" s="24"/>
      <c r="M1299" s="25"/>
    </row>
    <row r="1300" spans="1:13" ht="15.5" x14ac:dyDescent="0.35">
      <c r="A1300" s="2"/>
      <c r="B1300" s="147"/>
      <c r="C1300" s="32"/>
      <c r="F1300" s="25"/>
      <c r="L1300" s="24"/>
      <c r="M1300" s="25"/>
    </row>
    <row r="1301" spans="1:13" ht="15.5" x14ac:dyDescent="0.35">
      <c r="A1301" s="2"/>
      <c r="B1301" s="147"/>
      <c r="C1301" s="32"/>
      <c r="F1301" s="25"/>
      <c r="L1301" s="24"/>
      <c r="M1301" s="25"/>
    </row>
    <row r="1302" spans="1:13" ht="15.5" x14ac:dyDescent="0.35">
      <c r="A1302" s="2"/>
      <c r="B1302" s="147"/>
      <c r="C1302" s="32"/>
      <c r="F1302" s="25"/>
      <c r="L1302" s="24"/>
      <c r="M1302" s="25"/>
    </row>
    <row r="1303" spans="1:13" ht="15.5" x14ac:dyDescent="0.35">
      <c r="A1303" s="2"/>
      <c r="B1303" s="147"/>
      <c r="C1303" s="32"/>
      <c r="F1303" s="25"/>
      <c r="L1303" s="24"/>
      <c r="M1303" s="25"/>
    </row>
    <row r="1304" spans="1:13" ht="15.5" x14ac:dyDescent="0.35">
      <c r="A1304" s="2"/>
      <c r="B1304" s="147"/>
      <c r="C1304" s="32"/>
      <c r="F1304" s="25"/>
      <c r="L1304" s="24"/>
      <c r="M1304" s="25"/>
    </row>
    <row r="1305" spans="1:13" ht="15.5" x14ac:dyDescent="0.35">
      <c r="A1305" s="2"/>
      <c r="B1305" s="147"/>
      <c r="C1305" s="32"/>
      <c r="F1305" s="25"/>
      <c r="L1305" s="24"/>
      <c r="M1305" s="25"/>
    </row>
    <row r="1306" spans="1:13" ht="15.5" x14ac:dyDescent="0.35">
      <c r="A1306" s="2"/>
      <c r="B1306" s="147"/>
      <c r="C1306" s="32"/>
      <c r="F1306" s="25"/>
      <c r="L1306" s="24"/>
      <c r="M1306" s="25"/>
    </row>
    <row r="1307" spans="1:13" ht="15.5" x14ac:dyDescent="0.35">
      <c r="A1307" s="2"/>
      <c r="B1307" s="147"/>
      <c r="C1307" s="32"/>
      <c r="F1307" s="25"/>
      <c r="L1307" s="24"/>
      <c r="M1307" s="25"/>
    </row>
    <row r="1308" spans="1:13" ht="15.5" x14ac:dyDescent="0.35">
      <c r="A1308" s="2"/>
      <c r="B1308" s="147"/>
      <c r="C1308" s="32"/>
      <c r="F1308" s="25"/>
      <c r="L1308" s="24"/>
      <c r="M1308" s="25"/>
    </row>
    <row r="1309" spans="1:13" ht="15.5" x14ac:dyDescent="0.35">
      <c r="A1309" s="2"/>
      <c r="B1309" s="147"/>
      <c r="C1309" s="32"/>
      <c r="F1309" s="25"/>
      <c r="L1309" s="24"/>
      <c r="M1309" s="25"/>
    </row>
    <row r="1310" spans="1:13" ht="15.5" x14ac:dyDescent="0.35">
      <c r="A1310" s="2"/>
      <c r="B1310" s="147"/>
      <c r="C1310" s="32"/>
      <c r="F1310" s="25"/>
      <c r="L1310" s="24"/>
      <c r="M1310" s="25"/>
    </row>
    <row r="1311" spans="1:13" ht="15.5" x14ac:dyDescent="0.35">
      <c r="A1311" s="2"/>
      <c r="B1311" s="147"/>
      <c r="C1311" s="32"/>
      <c r="F1311" s="25"/>
      <c r="L1311" s="24"/>
      <c r="M1311" s="25"/>
    </row>
    <row r="1312" spans="1:13" ht="15.5" x14ac:dyDescent="0.35">
      <c r="A1312" s="2"/>
      <c r="B1312" s="147"/>
      <c r="C1312" s="32"/>
      <c r="F1312" s="25"/>
      <c r="L1312" s="24"/>
      <c r="M1312" s="25"/>
    </row>
    <row r="1313" spans="1:13" ht="15.5" x14ac:dyDescent="0.35">
      <c r="A1313" s="2"/>
      <c r="B1313" s="147"/>
      <c r="C1313" s="32"/>
      <c r="F1313" s="25"/>
      <c r="L1313" s="24"/>
      <c r="M1313" s="25"/>
    </row>
    <row r="1314" spans="1:13" ht="15.5" x14ac:dyDescent="0.35">
      <c r="A1314" s="2"/>
      <c r="B1314" s="147"/>
      <c r="C1314" s="32"/>
      <c r="F1314" s="25"/>
      <c r="L1314" s="24"/>
      <c r="M1314" s="25"/>
    </row>
    <row r="1315" spans="1:13" ht="15.5" x14ac:dyDescent="0.35">
      <c r="A1315" s="2"/>
      <c r="B1315" s="147"/>
      <c r="C1315" s="32"/>
      <c r="F1315" s="25"/>
      <c r="L1315" s="24"/>
      <c r="M1315" s="25"/>
    </row>
    <row r="1316" spans="1:13" ht="15.5" x14ac:dyDescent="0.35">
      <c r="A1316" s="2"/>
      <c r="B1316" s="147"/>
      <c r="C1316" s="32"/>
      <c r="F1316" s="25"/>
      <c r="L1316" s="24"/>
      <c r="M1316" s="25"/>
    </row>
    <row r="1317" spans="1:13" ht="15.5" x14ac:dyDescent="0.35">
      <c r="A1317" s="2"/>
      <c r="B1317" s="147"/>
      <c r="C1317" s="32"/>
      <c r="F1317" s="25"/>
      <c r="L1317" s="24"/>
      <c r="M1317" s="25"/>
    </row>
    <row r="1318" spans="1:13" ht="15.5" x14ac:dyDescent="0.35">
      <c r="A1318" s="2"/>
      <c r="B1318" s="147"/>
      <c r="C1318" s="32"/>
      <c r="F1318" s="25"/>
      <c r="L1318" s="24"/>
      <c r="M1318" s="25"/>
    </row>
    <row r="1319" spans="1:13" ht="15.5" x14ac:dyDescent="0.35">
      <c r="A1319" s="2"/>
      <c r="B1319" s="147"/>
      <c r="C1319" s="32"/>
      <c r="F1319" s="25"/>
      <c r="L1319" s="24"/>
      <c r="M1319" s="25"/>
    </row>
    <row r="1320" spans="1:13" ht="15.5" x14ac:dyDescent="0.35">
      <c r="A1320" s="2"/>
      <c r="B1320" s="147"/>
      <c r="C1320" s="32"/>
      <c r="F1320" s="25"/>
      <c r="L1320" s="24"/>
      <c r="M1320" s="25"/>
    </row>
    <row r="1321" spans="1:13" ht="15.5" x14ac:dyDescent="0.35">
      <c r="A1321" s="2"/>
      <c r="B1321" s="147"/>
      <c r="C1321" s="32"/>
      <c r="F1321" s="25"/>
      <c r="L1321" s="24"/>
      <c r="M1321" s="25"/>
    </row>
    <row r="1322" spans="1:13" ht="15.5" x14ac:dyDescent="0.35">
      <c r="A1322" s="2"/>
      <c r="B1322" s="147"/>
      <c r="C1322" s="32"/>
      <c r="F1322" s="25"/>
      <c r="L1322" s="24"/>
      <c r="M1322" s="25"/>
    </row>
    <row r="1323" spans="1:13" ht="15.5" x14ac:dyDescent="0.35">
      <c r="A1323" s="2"/>
      <c r="B1323" s="147"/>
      <c r="C1323" s="32"/>
      <c r="F1323" s="25"/>
      <c r="L1323" s="24"/>
      <c r="M1323" s="25"/>
    </row>
    <row r="1324" spans="1:13" ht="15.5" x14ac:dyDescent="0.35">
      <c r="A1324" s="2"/>
      <c r="B1324" s="147"/>
      <c r="C1324" s="32"/>
      <c r="F1324" s="25"/>
      <c r="L1324" s="24"/>
      <c r="M1324" s="25"/>
    </row>
    <row r="1325" spans="1:13" ht="15.5" x14ac:dyDescent="0.35">
      <c r="A1325" s="2"/>
      <c r="B1325" s="147"/>
      <c r="C1325" s="32"/>
      <c r="F1325" s="25"/>
      <c r="L1325" s="24"/>
      <c r="M1325" s="25"/>
    </row>
    <row r="1326" spans="1:13" ht="15.5" x14ac:dyDescent="0.35">
      <c r="A1326" s="2"/>
      <c r="B1326" s="147"/>
      <c r="C1326" s="32"/>
      <c r="F1326" s="25"/>
      <c r="L1326" s="24"/>
      <c r="M1326" s="25"/>
    </row>
    <row r="1327" spans="1:13" ht="15.5" x14ac:dyDescent="0.35">
      <c r="A1327" s="2"/>
      <c r="B1327" s="147"/>
      <c r="C1327" s="32"/>
      <c r="F1327" s="25"/>
      <c r="L1327" s="24"/>
      <c r="M1327" s="25"/>
    </row>
    <row r="1328" spans="1:13" ht="15.5" x14ac:dyDescent="0.35">
      <c r="A1328" s="2"/>
      <c r="B1328" s="147"/>
      <c r="C1328" s="32"/>
      <c r="F1328" s="25"/>
      <c r="L1328" s="24"/>
      <c r="M1328" s="25"/>
    </row>
    <row r="1329" spans="1:13" ht="15.5" x14ac:dyDescent="0.35">
      <c r="A1329" s="2"/>
      <c r="B1329" s="147"/>
      <c r="C1329" s="32"/>
      <c r="F1329" s="25"/>
      <c r="L1329" s="24"/>
      <c r="M1329" s="25"/>
    </row>
    <row r="1330" spans="1:13" ht="15.5" x14ac:dyDescent="0.35">
      <c r="A1330" s="2"/>
      <c r="B1330" s="147"/>
      <c r="C1330" s="32"/>
      <c r="F1330" s="25"/>
      <c r="L1330" s="24"/>
      <c r="M1330" s="25"/>
    </row>
    <row r="1331" spans="1:13" ht="15.5" x14ac:dyDescent="0.35">
      <c r="A1331" s="2"/>
      <c r="B1331" s="147"/>
      <c r="C1331" s="32"/>
      <c r="F1331" s="25"/>
      <c r="L1331" s="24"/>
      <c r="M1331" s="25"/>
    </row>
    <row r="1332" spans="1:13" ht="15.5" x14ac:dyDescent="0.35">
      <c r="A1332" s="2"/>
      <c r="B1332" s="147"/>
      <c r="C1332" s="32"/>
      <c r="F1332" s="25"/>
      <c r="L1332" s="24"/>
      <c r="M1332" s="25"/>
    </row>
    <row r="1333" spans="1:13" ht="15.5" x14ac:dyDescent="0.35">
      <c r="A1333" s="2"/>
      <c r="B1333" s="147"/>
      <c r="C1333" s="32"/>
      <c r="F1333" s="25"/>
      <c r="L1333" s="24"/>
      <c r="M1333" s="25"/>
    </row>
    <row r="1334" spans="1:13" ht="15.5" x14ac:dyDescent="0.35">
      <c r="A1334" s="2"/>
      <c r="B1334" s="147"/>
      <c r="C1334" s="32"/>
      <c r="F1334" s="25"/>
      <c r="L1334" s="24"/>
      <c r="M1334" s="25"/>
    </row>
    <row r="1335" spans="1:13" ht="15.5" x14ac:dyDescent="0.35">
      <c r="A1335" s="2"/>
      <c r="B1335" s="147"/>
      <c r="C1335" s="32"/>
      <c r="L1335" s="24"/>
      <c r="M1335" s="25"/>
    </row>
    <row r="1336" spans="1:13" ht="15.5" x14ac:dyDescent="0.35">
      <c r="A1336" s="2"/>
      <c r="B1336" s="147"/>
      <c r="C1336" s="32"/>
      <c r="L1336" s="24"/>
      <c r="M1336" s="25"/>
    </row>
    <row r="1337" spans="1:13" ht="15.5" x14ac:dyDescent="0.35">
      <c r="A1337" s="2"/>
      <c r="B1337" s="147"/>
      <c r="C1337" s="32"/>
      <c r="L1337" s="24"/>
      <c r="M1337" s="25"/>
    </row>
    <row r="1338" spans="1:13" ht="15.5" x14ac:dyDescent="0.35">
      <c r="A1338" s="2"/>
      <c r="B1338" s="147"/>
      <c r="C1338" s="32"/>
      <c r="L1338" s="24"/>
      <c r="M1338" s="25"/>
    </row>
    <row r="1339" spans="1:13" ht="15.5" x14ac:dyDescent="0.35">
      <c r="A1339" s="2"/>
      <c r="B1339" s="147"/>
      <c r="C1339" s="32"/>
      <c r="L1339" s="24"/>
      <c r="M1339" s="25"/>
    </row>
    <row r="1340" spans="1:13" ht="15.5" x14ac:dyDescent="0.35">
      <c r="A1340" s="2"/>
      <c r="B1340" s="147"/>
      <c r="C1340" s="32"/>
      <c r="L1340" s="24"/>
      <c r="M1340" s="25"/>
    </row>
    <row r="1341" spans="1:13" ht="15.5" x14ac:dyDescent="0.35">
      <c r="A1341" s="2"/>
      <c r="B1341" s="147"/>
      <c r="C1341" s="32"/>
      <c r="L1341" s="24"/>
      <c r="M1341" s="25"/>
    </row>
    <row r="1342" spans="1:13" ht="15.5" x14ac:dyDescent="0.35">
      <c r="A1342" s="2"/>
      <c r="B1342" s="147"/>
      <c r="C1342" s="32"/>
      <c r="L1342" s="24"/>
      <c r="M1342" s="25"/>
    </row>
    <row r="1343" spans="1:13" ht="15.5" x14ac:dyDescent="0.35">
      <c r="A1343" s="2"/>
      <c r="B1343" s="147"/>
      <c r="C1343" s="32"/>
      <c r="L1343" s="24"/>
      <c r="M1343" s="25"/>
    </row>
    <row r="1344" spans="1:13" ht="15.5" x14ac:dyDescent="0.35">
      <c r="A1344" s="2"/>
      <c r="B1344" s="147"/>
      <c r="C1344" s="32"/>
      <c r="L1344" s="24"/>
      <c r="M1344" s="25"/>
    </row>
    <row r="1345" spans="1:13" ht="15.5" x14ac:dyDescent="0.35">
      <c r="A1345" s="2"/>
      <c r="B1345" s="147"/>
      <c r="C1345" s="32"/>
      <c r="L1345" s="24"/>
      <c r="M1345" s="25"/>
    </row>
    <row r="1346" spans="1:13" ht="15.5" x14ac:dyDescent="0.35">
      <c r="A1346" s="2"/>
      <c r="B1346" s="147"/>
      <c r="C1346" s="32"/>
      <c r="L1346" s="24"/>
      <c r="M1346" s="25"/>
    </row>
    <row r="1347" spans="1:13" ht="15.5" x14ac:dyDescent="0.35">
      <c r="A1347" s="2"/>
      <c r="B1347" s="147"/>
      <c r="C1347" s="32"/>
      <c r="L1347" s="24"/>
      <c r="M1347" s="25"/>
    </row>
    <row r="1348" spans="1:13" ht="15.5" x14ac:dyDescent="0.35">
      <c r="A1348" s="2"/>
      <c r="B1348" s="147"/>
      <c r="C1348" s="32"/>
      <c r="L1348" s="24"/>
      <c r="M1348" s="25"/>
    </row>
    <row r="1349" spans="1:13" ht="15.5" x14ac:dyDescent="0.35">
      <c r="A1349" s="2"/>
      <c r="B1349" s="147"/>
      <c r="C1349" s="32"/>
      <c r="L1349" s="24"/>
      <c r="M1349" s="25"/>
    </row>
    <row r="1350" spans="1:13" ht="15.5" x14ac:dyDescent="0.35">
      <c r="A1350" s="2"/>
      <c r="B1350" s="147"/>
      <c r="C1350" s="32"/>
      <c r="L1350" s="24"/>
      <c r="M1350" s="25"/>
    </row>
    <row r="1351" spans="1:13" ht="15.5" x14ac:dyDescent="0.35">
      <c r="A1351" s="2"/>
      <c r="B1351" s="147"/>
      <c r="C1351" s="32"/>
      <c r="L1351" s="24"/>
      <c r="M1351" s="25"/>
    </row>
    <row r="1352" spans="1:13" ht="15.5" x14ac:dyDescent="0.35">
      <c r="A1352" s="2"/>
      <c r="B1352" s="147"/>
      <c r="C1352" s="32"/>
      <c r="L1352" s="24"/>
      <c r="M1352" s="25"/>
    </row>
    <row r="1353" spans="1:13" ht="15.5" x14ac:dyDescent="0.35">
      <c r="A1353" s="2"/>
      <c r="B1353" s="147"/>
      <c r="C1353" s="32"/>
      <c r="L1353" s="24"/>
      <c r="M1353" s="25"/>
    </row>
    <row r="1354" spans="1:13" ht="15.5" x14ac:dyDescent="0.35">
      <c r="A1354" s="2"/>
      <c r="B1354" s="147"/>
      <c r="C1354" s="32"/>
      <c r="L1354" s="24"/>
      <c r="M1354" s="25"/>
    </row>
    <row r="1355" spans="1:13" ht="15.5" x14ac:dyDescent="0.35">
      <c r="A1355" s="2"/>
      <c r="B1355" s="147"/>
      <c r="C1355" s="32"/>
      <c r="L1355" s="24"/>
      <c r="M1355" s="25"/>
    </row>
    <row r="1356" spans="1:13" ht="15.5" x14ac:dyDescent="0.35">
      <c r="A1356" s="2"/>
      <c r="B1356" s="147"/>
      <c r="C1356" s="32"/>
      <c r="L1356" s="24"/>
      <c r="M1356" s="25"/>
    </row>
    <row r="1357" spans="1:13" ht="15.5" x14ac:dyDescent="0.35">
      <c r="A1357" s="2"/>
      <c r="B1357" s="147"/>
      <c r="C1357" s="32"/>
      <c r="L1357" s="24"/>
      <c r="M1357" s="25"/>
    </row>
    <row r="1358" spans="1:13" ht="15.5" x14ac:dyDescent="0.35">
      <c r="A1358" s="2"/>
      <c r="B1358" s="147"/>
      <c r="C1358" s="32"/>
      <c r="L1358" s="24"/>
      <c r="M1358" s="25"/>
    </row>
    <row r="1359" spans="1:13" ht="15.5" x14ac:dyDescent="0.35">
      <c r="A1359" s="2"/>
      <c r="B1359" s="147"/>
      <c r="C1359" s="32"/>
      <c r="L1359" s="24"/>
      <c r="M1359" s="25"/>
    </row>
    <row r="1360" spans="1:13" ht="15.5" x14ac:dyDescent="0.35">
      <c r="A1360" s="2"/>
      <c r="B1360" s="147"/>
      <c r="C1360" s="32"/>
      <c r="L1360" s="24"/>
      <c r="M1360" s="25"/>
    </row>
    <row r="1361" spans="1:13" ht="15.5" x14ac:dyDescent="0.35">
      <c r="A1361" s="2"/>
      <c r="B1361" s="147"/>
      <c r="C1361" s="32"/>
      <c r="L1361" s="24"/>
      <c r="M1361" s="25"/>
    </row>
    <row r="1362" spans="1:13" ht="15.5" x14ac:dyDescent="0.35">
      <c r="A1362" s="2"/>
      <c r="B1362" s="147"/>
      <c r="C1362" s="32"/>
      <c r="L1362" s="24"/>
      <c r="M1362" s="25"/>
    </row>
    <row r="1363" spans="1:13" ht="15.5" x14ac:dyDescent="0.35">
      <c r="A1363" s="2"/>
      <c r="B1363" s="147"/>
      <c r="C1363" s="32"/>
      <c r="L1363" s="24"/>
      <c r="M1363" s="25"/>
    </row>
    <row r="1364" spans="1:13" ht="15.5" x14ac:dyDescent="0.35">
      <c r="A1364" s="2"/>
      <c r="B1364" s="147"/>
      <c r="C1364" s="32"/>
      <c r="L1364" s="24"/>
      <c r="M1364" s="25"/>
    </row>
    <row r="1365" spans="1:13" ht="15.5" x14ac:dyDescent="0.35">
      <c r="A1365" s="2"/>
      <c r="B1365" s="147"/>
      <c r="C1365" s="32"/>
      <c r="L1365" s="24"/>
      <c r="M1365" s="25"/>
    </row>
    <row r="1366" spans="1:13" ht="15.5" x14ac:dyDescent="0.35">
      <c r="A1366" s="2"/>
      <c r="B1366" s="147"/>
      <c r="C1366" s="32"/>
      <c r="L1366" s="24"/>
      <c r="M1366" s="25"/>
    </row>
    <row r="1367" spans="1:13" ht="15.5" x14ac:dyDescent="0.35">
      <c r="A1367" s="2"/>
      <c r="B1367" s="147"/>
      <c r="C1367" s="32"/>
      <c r="L1367" s="24"/>
      <c r="M1367" s="25"/>
    </row>
    <row r="1368" spans="1:13" ht="15.5" x14ac:dyDescent="0.35">
      <c r="A1368" s="2"/>
      <c r="B1368" s="147"/>
      <c r="C1368" s="32"/>
      <c r="L1368" s="24"/>
      <c r="M1368" s="25"/>
    </row>
    <row r="1369" spans="1:13" ht="15.5" x14ac:dyDescent="0.35">
      <c r="A1369" s="2"/>
      <c r="B1369" s="147"/>
      <c r="C1369" s="32"/>
      <c r="L1369" s="24"/>
      <c r="M1369" s="25"/>
    </row>
    <row r="1370" spans="1:13" ht="15.5" x14ac:dyDescent="0.35">
      <c r="A1370" s="2"/>
      <c r="B1370" s="147"/>
      <c r="C1370" s="32"/>
      <c r="L1370" s="24"/>
      <c r="M1370" s="25"/>
    </row>
    <row r="1371" spans="1:13" ht="15.5" x14ac:dyDescent="0.35">
      <c r="A1371" s="2"/>
      <c r="B1371" s="147"/>
      <c r="C1371" s="32"/>
      <c r="L1371" s="24"/>
      <c r="M1371" s="25"/>
    </row>
    <row r="1372" spans="1:13" ht="15.5" x14ac:dyDescent="0.35">
      <c r="A1372" s="2"/>
      <c r="B1372" s="147"/>
      <c r="C1372" s="32"/>
      <c r="L1372" s="24"/>
      <c r="M1372" s="25"/>
    </row>
    <row r="1373" spans="1:13" ht="15.5" x14ac:dyDescent="0.35">
      <c r="A1373" s="2"/>
      <c r="B1373" s="147"/>
      <c r="C1373" s="32"/>
      <c r="L1373" s="24"/>
      <c r="M1373" s="25"/>
    </row>
    <row r="1374" spans="1:13" ht="15.5" x14ac:dyDescent="0.35">
      <c r="A1374" s="2"/>
      <c r="B1374" s="147"/>
      <c r="C1374" s="32"/>
      <c r="L1374" s="24"/>
      <c r="M1374" s="25"/>
    </row>
    <row r="1375" spans="1:13" ht="15.5" x14ac:dyDescent="0.35">
      <c r="A1375" s="2"/>
      <c r="B1375" s="147"/>
      <c r="C1375" s="32"/>
      <c r="L1375" s="24"/>
      <c r="M1375" s="25"/>
    </row>
    <row r="1376" spans="1:13" ht="15.5" x14ac:dyDescent="0.35">
      <c r="A1376" s="2"/>
      <c r="B1376" s="147"/>
      <c r="C1376" s="32"/>
      <c r="L1376" s="24"/>
      <c r="M1376" s="25"/>
    </row>
    <row r="1377" spans="1:13" ht="15.5" x14ac:dyDescent="0.35">
      <c r="A1377" s="2"/>
      <c r="B1377" s="147"/>
      <c r="C1377" s="32"/>
      <c r="L1377" s="24"/>
      <c r="M1377" s="25"/>
    </row>
    <row r="1378" spans="1:13" ht="15.5" x14ac:dyDescent="0.35">
      <c r="A1378" s="2"/>
      <c r="B1378" s="147"/>
      <c r="C1378" s="32"/>
      <c r="L1378" s="24"/>
      <c r="M1378" s="25"/>
    </row>
    <row r="1379" spans="1:13" ht="15.5" x14ac:dyDescent="0.35">
      <c r="A1379" s="2"/>
      <c r="B1379" s="147"/>
      <c r="C1379" s="32"/>
      <c r="L1379" s="24"/>
      <c r="M1379" s="25"/>
    </row>
    <row r="1380" spans="1:13" ht="15.5" x14ac:dyDescent="0.35">
      <c r="A1380" s="2"/>
      <c r="B1380" s="147"/>
      <c r="C1380" s="32"/>
      <c r="L1380" s="24"/>
      <c r="M1380" s="25"/>
    </row>
    <row r="1381" spans="1:13" ht="15.5" x14ac:dyDescent="0.35">
      <c r="A1381" s="2"/>
      <c r="B1381" s="147"/>
      <c r="C1381" s="32"/>
      <c r="L1381" s="24"/>
      <c r="M1381" s="25"/>
    </row>
    <row r="1382" spans="1:13" ht="15.5" x14ac:dyDescent="0.35">
      <c r="A1382" s="2"/>
      <c r="B1382" s="147"/>
      <c r="C1382" s="32"/>
      <c r="L1382" s="24"/>
      <c r="M1382" s="25"/>
    </row>
    <row r="1383" spans="1:13" ht="15.5" x14ac:dyDescent="0.35">
      <c r="A1383" s="2"/>
      <c r="B1383" s="147"/>
      <c r="C1383" s="32"/>
      <c r="L1383" s="24"/>
      <c r="M1383" s="25"/>
    </row>
    <row r="1384" spans="1:13" ht="15.5" x14ac:dyDescent="0.35">
      <c r="A1384" s="2"/>
      <c r="B1384" s="147"/>
      <c r="C1384" s="32"/>
      <c r="L1384" s="24"/>
      <c r="M1384" s="25"/>
    </row>
    <row r="1385" spans="1:13" ht="15.5" x14ac:dyDescent="0.35">
      <c r="A1385" s="2"/>
      <c r="B1385" s="147"/>
      <c r="C1385" s="32"/>
      <c r="L1385" s="24"/>
      <c r="M1385" s="25"/>
    </row>
    <row r="1386" spans="1:13" ht="15.5" x14ac:dyDescent="0.35">
      <c r="A1386" s="2"/>
      <c r="B1386" s="147"/>
      <c r="C1386" s="32"/>
      <c r="L1386" s="24"/>
      <c r="M1386" s="25"/>
    </row>
    <row r="1387" spans="1:13" ht="15.5" x14ac:dyDescent="0.35">
      <c r="A1387" s="2"/>
      <c r="B1387" s="147"/>
      <c r="C1387" s="32"/>
      <c r="L1387" s="24"/>
      <c r="M1387" s="25"/>
    </row>
    <row r="1388" spans="1:13" ht="15.5" x14ac:dyDescent="0.35">
      <c r="A1388" s="2"/>
      <c r="B1388" s="147"/>
      <c r="C1388" s="32"/>
      <c r="L1388" s="24"/>
      <c r="M1388" s="25"/>
    </row>
    <row r="1389" spans="1:13" ht="15.5" x14ac:dyDescent="0.35">
      <c r="A1389" s="2"/>
      <c r="B1389" s="147"/>
      <c r="C1389" s="32"/>
      <c r="L1389" s="24"/>
      <c r="M1389" s="25"/>
    </row>
    <row r="1390" spans="1:13" ht="15.5" x14ac:dyDescent="0.35">
      <c r="A1390" s="2"/>
      <c r="B1390" s="147"/>
      <c r="C1390" s="32"/>
      <c r="L1390" s="24"/>
      <c r="M1390" s="25"/>
    </row>
    <row r="1391" spans="1:13" ht="15.5" x14ac:dyDescent="0.35">
      <c r="A1391" s="2"/>
      <c r="B1391" s="147"/>
      <c r="C1391" s="32"/>
      <c r="L1391" s="24"/>
      <c r="M1391" s="25"/>
    </row>
    <row r="1392" spans="1:13" ht="15.5" x14ac:dyDescent="0.35">
      <c r="A1392" s="2"/>
      <c r="B1392" s="147"/>
      <c r="C1392" s="32"/>
      <c r="L1392" s="24"/>
      <c r="M1392" s="25"/>
    </row>
    <row r="1393" spans="1:13" ht="15.5" x14ac:dyDescent="0.35">
      <c r="A1393" s="2"/>
      <c r="B1393" s="147"/>
      <c r="C1393" s="32"/>
      <c r="L1393" s="24"/>
      <c r="M1393" s="25"/>
    </row>
    <row r="1394" spans="1:13" ht="15.5" x14ac:dyDescent="0.35">
      <c r="A1394" s="2"/>
      <c r="B1394" s="147"/>
      <c r="C1394" s="32"/>
      <c r="L1394" s="24"/>
      <c r="M1394" s="25"/>
    </row>
    <row r="1395" spans="1:13" ht="15.5" x14ac:dyDescent="0.35">
      <c r="A1395" s="2"/>
      <c r="B1395" s="147"/>
      <c r="C1395" s="32"/>
      <c r="L1395" s="24"/>
      <c r="M1395" s="25"/>
    </row>
    <row r="1396" spans="1:13" ht="15.5" x14ac:dyDescent="0.35">
      <c r="A1396" s="2"/>
      <c r="B1396" s="147"/>
      <c r="C1396" s="32"/>
      <c r="L1396" s="24"/>
      <c r="M1396" s="25"/>
    </row>
    <row r="1397" spans="1:13" ht="15.5" x14ac:dyDescent="0.35">
      <c r="A1397" s="2"/>
      <c r="B1397" s="147"/>
      <c r="C1397" s="32"/>
      <c r="L1397" s="24"/>
      <c r="M1397" s="25"/>
    </row>
    <row r="1398" spans="1:13" ht="15.5" x14ac:dyDescent="0.35">
      <c r="A1398" s="2"/>
      <c r="B1398" s="147"/>
      <c r="C1398" s="32"/>
      <c r="L1398" s="24"/>
      <c r="M1398" s="25"/>
    </row>
    <row r="1399" spans="1:13" ht="15.5" x14ac:dyDescent="0.35">
      <c r="A1399" s="2"/>
      <c r="B1399" s="147"/>
      <c r="C1399" s="32"/>
      <c r="L1399" s="24"/>
      <c r="M1399" s="25"/>
    </row>
    <row r="1400" spans="1:13" ht="15.5" x14ac:dyDescent="0.35">
      <c r="A1400" s="2"/>
      <c r="B1400" s="147"/>
      <c r="C1400" s="32"/>
      <c r="L1400" s="24"/>
      <c r="M1400" s="25"/>
    </row>
    <row r="1401" spans="1:13" ht="15.5" x14ac:dyDescent="0.35">
      <c r="A1401" s="2"/>
      <c r="B1401" s="147"/>
      <c r="C1401" s="32"/>
      <c r="L1401" s="24"/>
      <c r="M1401" s="25"/>
    </row>
    <row r="1402" spans="1:13" ht="15.5" x14ac:dyDescent="0.35">
      <c r="A1402" s="2"/>
      <c r="B1402" s="147"/>
      <c r="C1402" s="32"/>
      <c r="L1402" s="24"/>
      <c r="M1402" s="25"/>
    </row>
    <row r="1403" spans="1:13" ht="15.5" x14ac:dyDescent="0.35">
      <c r="A1403" s="2"/>
      <c r="B1403" s="147"/>
      <c r="C1403" s="32"/>
      <c r="L1403" s="24"/>
      <c r="M1403" s="25"/>
    </row>
    <row r="1404" spans="1:13" ht="15.5" x14ac:dyDescent="0.35">
      <c r="A1404" s="2"/>
      <c r="B1404" s="147"/>
      <c r="C1404" s="32"/>
      <c r="L1404" s="24"/>
      <c r="M1404" s="25"/>
    </row>
    <row r="1405" spans="1:13" ht="15.5" x14ac:dyDescent="0.35">
      <c r="A1405" s="2"/>
      <c r="B1405" s="147"/>
      <c r="C1405" s="32"/>
      <c r="L1405" s="24"/>
      <c r="M1405" s="25"/>
    </row>
    <row r="1406" spans="1:13" ht="15.5" x14ac:dyDescent="0.35">
      <c r="A1406" s="2"/>
      <c r="B1406" s="147"/>
      <c r="C1406" s="32"/>
      <c r="L1406" s="24"/>
      <c r="M1406" s="25"/>
    </row>
    <row r="1407" spans="1:13" ht="15.5" x14ac:dyDescent="0.35">
      <c r="A1407" s="2"/>
      <c r="B1407" s="147"/>
      <c r="C1407" s="32"/>
      <c r="L1407" s="24"/>
      <c r="M1407" s="25"/>
    </row>
    <row r="1408" spans="1:13" ht="15.5" x14ac:dyDescent="0.35">
      <c r="A1408" s="2"/>
      <c r="B1408" s="147"/>
      <c r="C1408" s="32"/>
      <c r="L1408" s="24"/>
      <c r="M1408" s="25"/>
    </row>
    <row r="1409" spans="1:13" ht="15.5" x14ac:dyDescent="0.35">
      <c r="A1409" s="2"/>
      <c r="B1409" s="147"/>
      <c r="C1409" s="32"/>
      <c r="L1409" s="24"/>
      <c r="M1409" s="25"/>
    </row>
    <row r="1410" spans="1:13" ht="15.5" x14ac:dyDescent="0.35">
      <c r="A1410" s="2"/>
      <c r="B1410" s="147"/>
      <c r="C1410" s="32"/>
      <c r="L1410" s="24"/>
      <c r="M1410" s="25"/>
    </row>
    <row r="1411" spans="1:13" ht="15.5" x14ac:dyDescent="0.35">
      <c r="A1411" s="2"/>
      <c r="B1411" s="147"/>
      <c r="C1411" s="32"/>
      <c r="L1411" s="24"/>
      <c r="M1411" s="25"/>
    </row>
    <row r="1412" spans="1:13" ht="15.5" x14ac:dyDescent="0.35">
      <c r="A1412" s="2"/>
      <c r="B1412" s="147"/>
      <c r="C1412" s="32"/>
      <c r="L1412" s="24"/>
      <c r="M1412" s="25"/>
    </row>
    <row r="1413" spans="1:13" ht="15.5" x14ac:dyDescent="0.35">
      <c r="A1413" s="2"/>
      <c r="B1413" s="147"/>
      <c r="C1413" s="32"/>
      <c r="L1413" s="24"/>
      <c r="M1413" s="25"/>
    </row>
    <row r="1414" spans="1:13" ht="15.5" x14ac:dyDescent="0.35">
      <c r="A1414" s="2"/>
      <c r="B1414" s="147"/>
      <c r="C1414" s="32"/>
      <c r="L1414" s="24"/>
      <c r="M1414" s="25"/>
    </row>
    <row r="1415" spans="1:13" ht="15.5" x14ac:dyDescent="0.35">
      <c r="A1415" s="2"/>
      <c r="B1415" s="147"/>
      <c r="C1415" s="32"/>
      <c r="L1415" s="24"/>
      <c r="M1415" s="25"/>
    </row>
    <row r="1416" spans="1:13" ht="15.5" x14ac:dyDescent="0.35">
      <c r="A1416" s="2"/>
      <c r="B1416" s="147"/>
      <c r="C1416" s="32"/>
      <c r="L1416" s="24"/>
      <c r="M1416" s="25"/>
    </row>
    <row r="1417" spans="1:13" ht="15.5" x14ac:dyDescent="0.35">
      <c r="A1417" s="2"/>
      <c r="B1417" s="147"/>
      <c r="C1417" s="32"/>
      <c r="L1417" s="24"/>
      <c r="M1417" s="25"/>
    </row>
    <row r="1418" spans="1:13" ht="15.5" x14ac:dyDescent="0.35">
      <c r="A1418" s="2"/>
      <c r="B1418" s="147"/>
      <c r="C1418" s="32"/>
      <c r="L1418" s="24"/>
      <c r="M1418" s="25"/>
    </row>
    <row r="1419" spans="1:13" ht="15.5" x14ac:dyDescent="0.35">
      <c r="A1419" s="2"/>
      <c r="B1419" s="147"/>
      <c r="C1419" s="32"/>
      <c r="L1419" s="24"/>
      <c r="M1419" s="25"/>
    </row>
    <row r="1420" spans="1:13" ht="15.5" x14ac:dyDescent="0.35">
      <c r="A1420" s="2"/>
      <c r="B1420" s="147"/>
      <c r="C1420" s="32"/>
      <c r="L1420" s="24"/>
      <c r="M1420" s="25"/>
    </row>
    <row r="1421" spans="1:13" ht="15.5" x14ac:dyDescent="0.35">
      <c r="A1421" s="2"/>
      <c r="B1421" s="147"/>
      <c r="C1421" s="32"/>
      <c r="L1421" s="24"/>
      <c r="M1421" s="25"/>
    </row>
    <row r="1422" spans="1:13" ht="15.5" x14ac:dyDescent="0.35">
      <c r="A1422" s="2"/>
      <c r="B1422" s="147"/>
      <c r="C1422" s="32"/>
      <c r="L1422" s="24"/>
      <c r="M1422" s="25"/>
    </row>
    <row r="1423" spans="1:13" ht="15.5" x14ac:dyDescent="0.35">
      <c r="A1423" s="2"/>
      <c r="B1423" s="147"/>
      <c r="C1423" s="32"/>
      <c r="L1423" s="24"/>
      <c r="M1423" s="25"/>
    </row>
    <row r="1424" spans="1:13" ht="15.5" x14ac:dyDescent="0.35">
      <c r="A1424" s="2"/>
      <c r="B1424" s="147"/>
      <c r="C1424" s="32"/>
      <c r="L1424" s="24"/>
      <c r="M1424" s="25"/>
    </row>
    <row r="1425" spans="1:13" ht="15.5" x14ac:dyDescent="0.35">
      <c r="A1425" s="2"/>
      <c r="B1425" s="147"/>
      <c r="C1425" s="32"/>
      <c r="L1425" s="24"/>
      <c r="M1425" s="25"/>
    </row>
    <row r="1426" spans="1:13" ht="15.5" x14ac:dyDescent="0.35">
      <c r="A1426" s="2"/>
      <c r="B1426" s="147"/>
      <c r="C1426" s="32"/>
      <c r="L1426" s="24"/>
      <c r="M1426" s="25"/>
    </row>
    <row r="1427" spans="1:13" ht="15.5" x14ac:dyDescent="0.35">
      <c r="A1427" s="2"/>
      <c r="B1427" s="147"/>
      <c r="C1427" s="32"/>
      <c r="L1427" s="24"/>
      <c r="M1427" s="25"/>
    </row>
    <row r="1428" spans="1:13" ht="15.5" x14ac:dyDescent="0.35">
      <c r="A1428" s="2"/>
      <c r="B1428" s="147"/>
      <c r="C1428" s="32"/>
      <c r="L1428" s="24"/>
      <c r="M1428" s="25"/>
    </row>
    <row r="1429" spans="1:13" ht="15.5" x14ac:dyDescent="0.35">
      <c r="A1429" s="2"/>
      <c r="B1429" s="147"/>
      <c r="C1429" s="32"/>
      <c r="L1429" s="24"/>
      <c r="M1429" s="25"/>
    </row>
    <row r="1430" spans="1:13" ht="15.5" x14ac:dyDescent="0.35">
      <c r="A1430" s="2"/>
      <c r="B1430" s="147"/>
      <c r="C1430" s="32"/>
      <c r="M1430" s="25"/>
    </row>
    <row r="1431" spans="1:13" ht="15.5" x14ac:dyDescent="0.35">
      <c r="A1431" s="2"/>
      <c r="B1431" s="147"/>
      <c r="C1431" s="32"/>
      <c r="M1431" s="25"/>
    </row>
    <row r="1432" spans="1:13" ht="15.5" x14ac:dyDescent="0.35">
      <c r="A1432" s="2"/>
      <c r="B1432" s="147"/>
      <c r="C1432" s="32"/>
      <c r="M1432" s="25"/>
    </row>
    <row r="1433" spans="1:13" ht="15.5" x14ac:dyDescent="0.35">
      <c r="A1433" s="2"/>
      <c r="B1433" s="147"/>
      <c r="C1433" s="32"/>
      <c r="M1433" s="25"/>
    </row>
    <row r="1434" spans="1:13" ht="15.5" x14ac:dyDescent="0.35">
      <c r="A1434" s="2"/>
      <c r="B1434" s="147"/>
      <c r="C1434" s="32"/>
      <c r="M1434" s="25"/>
    </row>
    <row r="1435" spans="1:13" ht="15.5" x14ac:dyDescent="0.35">
      <c r="A1435" s="2"/>
      <c r="B1435" s="147"/>
      <c r="C1435" s="32"/>
      <c r="M1435" s="25"/>
    </row>
    <row r="1436" spans="1:13" ht="15.5" x14ac:dyDescent="0.35">
      <c r="A1436" s="2"/>
      <c r="B1436" s="147"/>
      <c r="C1436" s="32"/>
      <c r="M1436" s="25"/>
    </row>
    <row r="1437" spans="1:13" ht="15.5" x14ac:dyDescent="0.35">
      <c r="A1437" s="2"/>
      <c r="B1437" s="147"/>
      <c r="C1437" s="32"/>
      <c r="M1437" s="25"/>
    </row>
    <row r="1438" spans="1:13" ht="15.5" x14ac:dyDescent="0.35">
      <c r="A1438" s="2"/>
      <c r="B1438" s="147"/>
      <c r="C1438" s="32"/>
      <c r="M1438" s="25"/>
    </row>
    <row r="1439" spans="1:13" ht="15.5" x14ac:dyDescent="0.35">
      <c r="A1439" s="2"/>
      <c r="B1439" s="147"/>
      <c r="C1439" s="32"/>
      <c r="M1439" s="25"/>
    </row>
    <row r="1440" spans="1:13" ht="15.5" x14ac:dyDescent="0.35">
      <c r="A1440" s="2"/>
      <c r="B1440" s="147"/>
      <c r="C1440" s="32"/>
      <c r="M1440" s="25"/>
    </row>
    <row r="1441" spans="1:13" ht="15.5" x14ac:dyDescent="0.35">
      <c r="A1441" s="2"/>
      <c r="B1441" s="147"/>
      <c r="C1441" s="32"/>
      <c r="M1441" s="25"/>
    </row>
    <row r="1442" spans="1:13" ht="15.5" x14ac:dyDescent="0.35">
      <c r="A1442" s="2"/>
      <c r="B1442" s="147"/>
      <c r="C1442" s="32"/>
      <c r="M1442" s="25"/>
    </row>
    <row r="1443" spans="1:13" ht="15.5" x14ac:dyDescent="0.35">
      <c r="A1443" s="2"/>
      <c r="B1443" s="147"/>
      <c r="C1443" s="32"/>
      <c r="M1443" s="25"/>
    </row>
    <row r="1444" spans="1:13" ht="15.5" x14ac:dyDescent="0.35">
      <c r="A1444" s="2"/>
      <c r="B1444" s="147"/>
      <c r="C1444" s="32"/>
      <c r="M1444" s="25"/>
    </row>
    <row r="1445" spans="1:13" ht="15.5" x14ac:dyDescent="0.35">
      <c r="A1445" s="2"/>
      <c r="B1445" s="147"/>
      <c r="C1445" s="32"/>
      <c r="M1445" s="25"/>
    </row>
    <row r="1446" spans="1:13" ht="15.5" x14ac:dyDescent="0.35">
      <c r="A1446" s="2"/>
      <c r="B1446" s="147"/>
      <c r="C1446" s="32"/>
      <c r="M1446" s="25"/>
    </row>
    <row r="1447" spans="1:13" ht="15.5" x14ac:dyDescent="0.35">
      <c r="A1447" s="2"/>
      <c r="B1447" s="147"/>
      <c r="C1447" s="32"/>
      <c r="M1447" s="25"/>
    </row>
    <row r="1448" spans="1:13" ht="15.5" x14ac:dyDescent="0.35">
      <c r="A1448" s="2"/>
      <c r="B1448" s="147"/>
      <c r="C1448" s="32"/>
      <c r="M1448" s="25"/>
    </row>
    <row r="1449" spans="1:13" ht="15.5" x14ac:dyDescent="0.35">
      <c r="A1449" s="2"/>
      <c r="B1449" s="147"/>
      <c r="C1449" s="32"/>
      <c r="M1449" s="25"/>
    </row>
    <row r="1450" spans="1:13" ht="15.5" x14ac:dyDescent="0.35">
      <c r="A1450" s="2"/>
      <c r="B1450" s="147"/>
      <c r="C1450" s="32"/>
      <c r="M1450" s="25"/>
    </row>
    <row r="1451" spans="1:13" ht="15.5" x14ac:dyDescent="0.35">
      <c r="A1451" s="2"/>
      <c r="B1451" s="147"/>
      <c r="C1451" s="32"/>
      <c r="M1451" s="25"/>
    </row>
    <row r="1452" spans="1:13" ht="15.5" x14ac:dyDescent="0.35">
      <c r="A1452" s="2"/>
      <c r="B1452" s="147"/>
      <c r="C1452" s="32"/>
      <c r="M1452" s="25"/>
    </row>
    <row r="1453" spans="1:13" ht="15.5" x14ac:dyDescent="0.35">
      <c r="A1453" s="2"/>
      <c r="B1453" s="147"/>
      <c r="C1453" s="32"/>
      <c r="M1453" s="25"/>
    </row>
    <row r="1454" spans="1:13" ht="15.5" x14ac:dyDescent="0.35">
      <c r="A1454" s="2"/>
      <c r="B1454" s="147"/>
      <c r="C1454" s="32"/>
      <c r="M1454" s="25"/>
    </row>
    <row r="1455" spans="1:13" ht="15.5" x14ac:dyDescent="0.35">
      <c r="A1455" s="2"/>
      <c r="B1455" s="147"/>
      <c r="C1455" s="32"/>
      <c r="M1455" s="25"/>
    </row>
    <row r="1456" spans="1:13" ht="15.5" x14ac:dyDescent="0.35">
      <c r="A1456" s="2"/>
      <c r="B1456" s="147"/>
      <c r="C1456" s="32"/>
      <c r="M1456" s="25"/>
    </row>
    <row r="1457" spans="1:13" ht="15.5" x14ac:dyDescent="0.35">
      <c r="A1457" s="2"/>
      <c r="B1457" s="147"/>
      <c r="C1457" s="32"/>
      <c r="M1457" s="25"/>
    </row>
    <row r="1458" spans="1:13" ht="15.5" x14ac:dyDescent="0.35">
      <c r="A1458" s="2"/>
      <c r="B1458" s="147"/>
      <c r="C1458" s="32"/>
      <c r="M1458" s="25"/>
    </row>
    <row r="1459" spans="1:13" ht="15.5" x14ac:dyDescent="0.35">
      <c r="A1459" s="2"/>
      <c r="B1459" s="147"/>
      <c r="C1459" s="32"/>
      <c r="M1459" s="25"/>
    </row>
    <row r="1460" spans="1:13" ht="15.5" x14ac:dyDescent="0.35">
      <c r="A1460" s="2"/>
      <c r="B1460" s="147"/>
      <c r="C1460" s="32"/>
      <c r="M1460" s="25"/>
    </row>
    <row r="1461" spans="1:13" ht="15.5" x14ac:dyDescent="0.35">
      <c r="A1461" s="2"/>
      <c r="B1461" s="147"/>
      <c r="C1461" s="32"/>
      <c r="M1461" s="25"/>
    </row>
    <row r="1462" spans="1:13" ht="15.5" x14ac:dyDescent="0.35">
      <c r="A1462" s="2"/>
      <c r="B1462" s="147"/>
      <c r="C1462" s="32"/>
      <c r="M1462" s="25"/>
    </row>
    <row r="1463" spans="1:13" ht="15.5" x14ac:dyDescent="0.35">
      <c r="A1463" s="2"/>
      <c r="B1463" s="147"/>
      <c r="C1463" s="32"/>
      <c r="M1463" s="25"/>
    </row>
    <row r="1464" spans="1:13" ht="15.5" x14ac:dyDescent="0.35">
      <c r="A1464" s="2"/>
      <c r="B1464" s="147"/>
      <c r="C1464" s="32"/>
      <c r="M1464" s="25"/>
    </row>
    <row r="1465" spans="1:13" ht="15.5" x14ac:dyDescent="0.35">
      <c r="A1465" s="2"/>
      <c r="B1465" s="147"/>
      <c r="C1465" s="32"/>
      <c r="M1465" s="25"/>
    </row>
    <row r="1466" spans="1:13" ht="15.5" x14ac:dyDescent="0.35">
      <c r="A1466" s="2"/>
      <c r="B1466" s="147"/>
      <c r="C1466" s="32"/>
      <c r="M1466" s="25"/>
    </row>
    <row r="1467" spans="1:13" ht="15.5" x14ac:dyDescent="0.35">
      <c r="A1467" s="2"/>
      <c r="B1467" s="147"/>
      <c r="C1467" s="32"/>
      <c r="M1467" s="25"/>
    </row>
    <row r="1468" spans="1:13" ht="15.5" x14ac:dyDescent="0.35">
      <c r="A1468" s="2"/>
      <c r="B1468" s="147"/>
      <c r="C1468" s="32"/>
      <c r="M1468" s="25"/>
    </row>
    <row r="1469" spans="1:13" ht="15.5" x14ac:dyDescent="0.35">
      <c r="A1469" s="2"/>
      <c r="B1469" s="147"/>
      <c r="C1469" s="32"/>
      <c r="M1469" s="25"/>
    </row>
    <row r="1470" spans="1:13" ht="15.5" x14ac:dyDescent="0.35">
      <c r="A1470" s="2"/>
      <c r="B1470" s="147"/>
      <c r="C1470" s="32"/>
      <c r="M1470" s="25"/>
    </row>
    <row r="1471" spans="1:13" ht="15.5" x14ac:dyDescent="0.35">
      <c r="A1471" s="2"/>
      <c r="B1471" s="147"/>
      <c r="C1471" s="32"/>
      <c r="M1471" s="25"/>
    </row>
    <row r="1472" spans="1:13" ht="15.5" x14ac:dyDescent="0.35">
      <c r="A1472" s="2"/>
      <c r="B1472" s="147"/>
      <c r="C1472" s="32"/>
      <c r="M1472" s="25"/>
    </row>
    <row r="1473" spans="1:13" ht="15.5" x14ac:dyDescent="0.35">
      <c r="A1473" s="2"/>
      <c r="B1473" s="147"/>
      <c r="C1473" s="32"/>
      <c r="M1473" s="25"/>
    </row>
    <row r="1474" spans="1:13" ht="15.5" x14ac:dyDescent="0.35">
      <c r="A1474" s="2"/>
      <c r="B1474" s="147"/>
      <c r="C1474" s="32"/>
      <c r="M1474" s="25"/>
    </row>
    <row r="1475" spans="1:13" ht="15.5" x14ac:dyDescent="0.35">
      <c r="A1475" s="2"/>
      <c r="B1475" s="147"/>
      <c r="C1475" s="32"/>
      <c r="M1475" s="25"/>
    </row>
    <row r="1476" spans="1:13" ht="15.5" x14ac:dyDescent="0.35">
      <c r="A1476" s="2"/>
      <c r="B1476" s="147"/>
      <c r="C1476" s="32"/>
      <c r="M1476" s="25"/>
    </row>
    <row r="1477" spans="1:13" ht="15.5" x14ac:dyDescent="0.35">
      <c r="A1477" s="2"/>
      <c r="B1477" s="147"/>
      <c r="C1477" s="32"/>
      <c r="M1477" s="25"/>
    </row>
    <row r="1478" spans="1:13" ht="15.5" x14ac:dyDescent="0.35">
      <c r="A1478" s="2"/>
      <c r="B1478" s="147"/>
      <c r="C1478" s="32"/>
      <c r="M1478" s="25"/>
    </row>
    <row r="1479" spans="1:13" ht="15.5" x14ac:dyDescent="0.35">
      <c r="A1479" s="2"/>
      <c r="B1479" s="147"/>
      <c r="C1479" s="32"/>
      <c r="M1479" s="25"/>
    </row>
    <row r="1480" spans="1:13" ht="15.5" x14ac:dyDescent="0.35">
      <c r="A1480" s="2"/>
      <c r="B1480" s="147"/>
      <c r="C1480" s="32"/>
      <c r="M1480" s="25"/>
    </row>
    <row r="1481" spans="1:13" ht="15.5" x14ac:dyDescent="0.35">
      <c r="A1481" s="2"/>
      <c r="B1481" s="147"/>
      <c r="C1481" s="32"/>
      <c r="M1481" s="25"/>
    </row>
    <row r="1482" spans="1:13" ht="15.5" x14ac:dyDescent="0.35">
      <c r="A1482" s="2"/>
      <c r="B1482" s="147"/>
      <c r="C1482" s="32"/>
      <c r="M1482" s="25"/>
    </row>
    <row r="1483" spans="1:13" ht="15.5" x14ac:dyDescent="0.35">
      <c r="A1483" s="2"/>
      <c r="B1483" s="147"/>
      <c r="C1483" s="32"/>
      <c r="M1483" s="25"/>
    </row>
    <row r="1484" spans="1:13" ht="15.5" x14ac:dyDescent="0.35">
      <c r="A1484" s="2"/>
      <c r="B1484" s="147"/>
      <c r="C1484" s="32"/>
      <c r="M1484" s="25"/>
    </row>
    <row r="1485" spans="1:13" ht="15.5" x14ac:dyDescent="0.35">
      <c r="A1485" s="2"/>
      <c r="B1485" s="147"/>
      <c r="C1485" s="32"/>
      <c r="M1485" s="25"/>
    </row>
    <row r="1486" spans="1:13" ht="15.5" x14ac:dyDescent="0.35">
      <c r="A1486" s="2"/>
      <c r="B1486" s="147"/>
      <c r="C1486" s="32"/>
      <c r="M1486" s="25"/>
    </row>
    <row r="1487" spans="1:13" ht="15.5" x14ac:dyDescent="0.35">
      <c r="A1487" s="2"/>
      <c r="B1487" s="147"/>
      <c r="C1487" s="32"/>
      <c r="M1487" s="25"/>
    </row>
    <row r="1488" spans="1:13" ht="15.5" x14ac:dyDescent="0.35">
      <c r="A1488" s="2"/>
      <c r="B1488" s="147"/>
      <c r="C1488" s="32"/>
      <c r="M1488" s="25"/>
    </row>
    <row r="1489" spans="1:13" ht="15.5" x14ac:dyDescent="0.35">
      <c r="A1489" s="2"/>
      <c r="B1489" s="147"/>
      <c r="C1489" s="32"/>
      <c r="M1489" s="25"/>
    </row>
    <row r="1490" spans="1:13" ht="15.5" x14ac:dyDescent="0.35">
      <c r="A1490" s="2"/>
      <c r="B1490" s="147"/>
      <c r="C1490" s="32"/>
      <c r="M1490" s="25"/>
    </row>
    <row r="1491" spans="1:13" ht="15.5" x14ac:dyDescent="0.35">
      <c r="A1491" s="2"/>
      <c r="B1491" s="147"/>
      <c r="C1491" s="32"/>
      <c r="M1491" s="25"/>
    </row>
    <row r="1492" spans="1:13" ht="15.5" x14ac:dyDescent="0.35">
      <c r="A1492" s="2"/>
      <c r="B1492" s="147"/>
      <c r="C1492" s="32"/>
      <c r="M1492" s="25"/>
    </row>
    <row r="1493" spans="1:13" ht="15.5" x14ac:dyDescent="0.35">
      <c r="A1493" s="2"/>
      <c r="B1493" s="147"/>
      <c r="C1493" s="32"/>
      <c r="M1493" s="25"/>
    </row>
    <row r="1494" spans="1:13" ht="15.5" x14ac:dyDescent="0.35">
      <c r="A1494" s="2"/>
      <c r="B1494" s="147"/>
      <c r="C1494" s="32"/>
      <c r="M1494" s="25"/>
    </row>
    <row r="1495" spans="1:13" ht="15.5" x14ac:dyDescent="0.35">
      <c r="A1495" s="2"/>
      <c r="B1495" s="147"/>
      <c r="C1495" s="32"/>
      <c r="M1495" s="25"/>
    </row>
    <row r="1496" spans="1:13" ht="15.5" x14ac:dyDescent="0.35">
      <c r="A1496" s="2"/>
      <c r="B1496" s="147"/>
      <c r="C1496" s="32"/>
      <c r="M1496" s="25"/>
    </row>
    <row r="1497" spans="1:13" ht="15.5" x14ac:dyDescent="0.35">
      <c r="A1497" s="2"/>
      <c r="B1497" s="147"/>
      <c r="C1497" s="32"/>
      <c r="M1497" s="25"/>
    </row>
    <row r="1498" spans="1:13" ht="15.5" x14ac:dyDescent="0.35">
      <c r="A1498" s="2"/>
      <c r="B1498" s="147"/>
      <c r="C1498" s="32"/>
      <c r="M1498" s="25"/>
    </row>
    <row r="1499" spans="1:13" ht="15.5" x14ac:dyDescent="0.35">
      <c r="A1499" s="2"/>
      <c r="B1499" s="147"/>
      <c r="C1499" s="32"/>
      <c r="M1499" s="25"/>
    </row>
    <row r="1500" spans="1:13" ht="15.5" x14ac:dyDescent="0.35">
      <c r="A1500" s="2"/>
      <c r="B1500" s="147"/>
      <c r="C1500" s="32"/>
      <c r="M1500" s="25"/>
    </row>
    <row r="1501" spans="1:13" ht="15.5" x14ac:dyDescent="0.35">
      <c r="A1501" s="2"/>
      <c r="B1501" s="147"/>
      <c r="C1501" s="32"/>
      <c r="M1501" s="25"/>
    </row>
    <row r="1502" spans="1:13" ht="15.5" x14ac:dyDescent="0.35">
      <c r="A1502" s="2"/>
      <c r="B1502" s="147"/>
      <c r="C1502" s="32"/>
      <c r="M1502" s="25"/>
    </row>
    <row r="1503" spans="1:13" ht="15.5" x14ac:dyDescent="0.35">
      <c r="A1503" s="2"/>
      <c r="B1503" s="147"/>
      <c r="C1503" s="32"/>
      <c r="M1503" s="25"/>
    </row>
    <row r="1504" spans="1:13" ht="15.5" x14ac:dyDescent="0.35">
      <c r="A1504" s="2"/>
      <c r="B1504" s="147"/>
      <c r="C1504" s="32"/>
      <c r="M1504" s="25"/>
    </row>
    <row r="1505" spans="1:13" ht="15.5" x14ac:dyDescent="0.35">
      <c r="A1505" s="2"/>
      <c r="B1505" s="147"/>
      <c r="C1505" s="32"/>
      <c r="M1505" s="25"/>
    </row>
    <row r="1506" spans="1:13" ht="15.5" x14ac:dyDescent="0.35">
      <c r="A1506" s="2"/>
      <c r="B1506" s="147"/>
      <c r="C1506" s="32"/>
      <c r="M1506" s="25"/>
    </row>
    <row r="1507" spans="1:13" ht="15.5" x14ac:dyDescent="0.35">
      <c r="A1507" s="2"/>
      <c r="B1507" s="147"/>
      <c r="C1507" s="32"/>
      <c r="M1507" s="25"/>
    </row>
    <row r="1508" spans="1:13" ht="15.5" x14ac:dyDescent="0.35">
      <c r="A1508" s="2"/>
      <c r="B1508" s="147"/>
      <c r="C1508" s="32"/>
      <c r="M1508" s="25"/>
    </row>
    <row r="1509" spans="1:13" ht="15.5" x14ac:dyDescent="0.35">
      <c r="A1509" s="2"/>
      <c r="B1509" s="147"/>
      <c r="C1509" s="32"/>
      <c r="M1509" s="25"/>
    </row>
    <row r="1510" spans="1:13" ht="15.5" x14ac:dyDescent="0.35">
      <c r="A1510" s="2"/>
      <c r="B1510" s="147"/>
      <c r="C1510" s="32"/>
      <c r="M1510" s="25"/>
    </row>
    <row r="1511" spans="1:13" ht="15.5" x14ac:dyDescent="0.35">
      <c r="A1511" s="2"/>
      <c r="B1511" s="147"/>
      <c r="C1511" s="32"/>
      <c r="M1511" s="25"/>
    </row>
    <row r="1512" spans="1:13" ht="15.5" x14ac:dyDescent="0.35">
      <c r="A1512" s="2"/>
      <c r="B1512" s="147"/>
      <c r="C1512" s="32"/>
      <c r="M1512" s="25"/>
    </row>
    <row r="1513" spans="1:13" ht="15.5" x14ac:dyDescent="0.35">
      <c r="A1513" s="2"/>
      <c r="B1513" s="147"/>
      <c r="C1513" s="32"/>
      <c r="M1513" s="25"/>
    </row>
    <row r="1514" spans="1:13" ht="15.5" x14ac:dyDescent="0.35">
      <c r="A1514" s="2"/>
      <c r="B1514" s="147"/>
      <c r="C1514" s="32"/>
      <c r="M1514" s="25"/>
    </row>
    <row r="1515" spans="1:13" ht="15.5" x14ac:dyDescent="0.35">
      <c r="A1515" s="2"/>
      <c r="B1515" s="147"/>
      <c r="C1515" s="32"/>
      <c r="M1515" s="25"/>
    </row>
    <row r="1516" spans="1:13" ht="15.5" x14ac:dyDescent="0.35">
      <c r="A1516" s="2"/>
      <c r="B1516" s="147"/>
      <c r="C1516" s="32"/>
      <c r="M1516" s="25"/>
    </row>
    <row r="1517" spans="1:13" ht="15.5" x14ac:dyDescent="0.35">
      <c r="A1517" s="2"/>
      <c r="B1517" s="147"/>
      <c r="C1517" s="32"/>
      <c r="M1517" s="25"/>
    </row>
    <row r="1518" spans="1:13" ht="15.5" x14ac:dyDescent="0.35">
      <c r="A1518" s="2"/>
      <c r="B1518" s="147"/>
      <c r="C1518" s="32"/>
      <c r="M1518" s="25"/>
    </row>
    <row r="1519" spans="1:13" ht="15.5" x14ac:dyDescent="0.35">
      <c r="A1519" s="2"/>
      <c r="B1519" s="147"/>
      <c r="C1519" s="32"/>
      <c r="M1519" s="25"/>
    </row>
    <row r="1520" spans="1:13" ht="15.5" x14ac:dyDescent="0.35">
      <c r="A1520" s="2"/>
      <c r="B1520" s="147"/>
      <c r="C1520" s="32"/>
      <c r="M1520" s="25"/>
    </row>
    <row r="1521" spans="1:13" ht="15.5" x14ac:dyDescent="0.35">
      <c r="A1521" s="2"/>
      <c r="B1521" s="147"/>
      <c r="C1521" s="32"/>
      <c r="M1521" s="25"/>
    </row>
    <row r="1522" spans="1:13" ht="15.5" x14ac:dyDescent="0.35">
      <c r="A1522" s="2"/>
      <c r="B1522" s="147"/>
      <c r="C1522" s="32"/>
      <c r="M1522" s="25"/>
    </row>
    <row r="1523" spans="1:13" ht="15.5" x14ac:dyDescent="0.35">
      <c r="A1523" s="2"/>
      <c r="B1523" s="147"/>
      <c r="C1523" s="32"/>
      <c r="M1523" s="25"/>
    </row>
    <row r="1524" spans="1:13" ht="15.5" x14ac:dyDescent="0.35">
      <c r="A1524" s="2"/>
      <c r="B1524" s="147"/>
      <c r="C1524" s="32"/>
      <c r="M1524" s="25"/>
    </row>
    <row r="1525" spans="1:13" ht="15.5" x14ac:dyDescent="0.35">
      <c r="A1525" s="2"/>
      <c r="B1525" s="147"/>
      <c r="C1525" s="32"/>
      <c r="M1525" s="25"/>
    </row>
    <row r="1526" spans="1:13" ht="15.5" x14ac:dyDescent="0.35">
      <c r="A1526" s="2"/>
      <c r="B1526" s="147"/>
      <c r="C1526" s="32"/>
      <c r="M1526" s="25"/>
    </row>
    <row r="1527" spans="1:13" ht="15.5" x14ac:dyDescent="0.35">
      <c r="A1527" s="2"/>
      <c r="B1527" s="147"/>
      <c r="C1527" s="32"/>
      <c r="M1527" s="25"/>
    </row>
    <row r="1528" spans="1:13" ht="15.5" x14ac:dyDescent="0.35">
      <c r="A1528" s="2"/>
      <c r="B1528" s="147"/>
      <c r="C1528" s="32"/>
      <c r="M1528" s="25"/>
    </row>
    <row r="1529" spans="1:13" ht="15.5" x14ac:dyDescent="0.35">
      <c r="A1529" s="2"/>
      <c r="B1529" s="147"/>
      <c r="C1529" s="32"/>
      <c r="M1529" s="25"/>
    </row>
    <row r="1530" spans="1:13" ht="15.5" x14ac:dyDescent="0.35">
      <c r="A1530" s="2"/>
      <c r="B1530" s="147"/>
      <c r="C1530" s="32"/>
      <c r="M1530" s="25"/>
    </row>
    <row r="1531" spans="1:13" ht="15.5" x14ac:dyDescent="0.35">
      <c r="A1531" s="2"/>
      <c r="B1531" s="147"/>
      <c r="C1531" s="32"/>
      <c r="M1531" s="25"/>
    </row>
    <row r="1532" spans="1:13" ht="15.5" x14ac:dyDescent="0.35">
      <c r="A1532" s="2"/>
      <c r="B1532" s="147"/>
      <c r="C1532" s="32"/>
      <c r="M1532" s="25"/>
    </row>
    <row r="1533" spans="1:13" ht="15.5" x14ac:dyDescent="0.35">
      <c r="A1533" s="2"/>
      <c r="B1533" s="147"/>
      <c r="C1533" s="32"/>
      <c r="M1533" s="25"/>
    </row>
    <row r="1534" spans="1:13" ht="15.5" x14ac:dyDescent="0.35">
      <c r="A1534" s="2"/>
      <c r="B1534" s="147"/>
      <c r="C1534" s="32"/>
      <c r="M1534" s="25"/>
    </row>
    <row r="1535" spans="1:13" ht="15.5" x14ac:dyDescent="0.35">
      <c r="A1535" s="2"/>
      <c r="B1535" s="147"/>
      <c r="C1535" s="32"/>
      <c r="M1535" s="25"/>
    </row>
    <row r="1536" spans="1:13" ht="15.5" x14ac:dyDescent="0.35">
      <c r="A1536" s="2"/>
      <c r="B1536" s="147"/>
      <c r="C1536" s="32"/>
      <c r="M1536" s="25"/>
    </row>
    <row r="1537" spans="1:13" ht="15.5" x14ac:dyDescent="0.35">
      <c r="A1537" s="2"/>
      <c r="B1537" s="147"/>
      <c r="C1537" s="32"/>
      <c r="M1537" s="25"/>
    </row>
    <row r="1538" spans="1:13" ht="15.5" x14ac:dyDescent="0.35">
      <c r="A1538" s="2"/>
      <c r="B1538" s="147"/>
      <c r="C1538" s="32"/>
      <c r="M1538" s="25"/>
    </row>
    <row r="1539" spans="1:13" ht="15.5" x14ac:dyDescent="0.35">
      <c r="A1539" s="2"/>
      <c r="B1539" s="147"/>
      <c r="C1539" s="32"/>
      <c r="M1539" s="25"/>
    </row>
    <row r="1540" spans="1:13" ht="15.5" x14ac:dyDescent="0.35">
      <c r="A1540" s="2"/>
      <c r="B1540" s="147"/>
      <c r="C1540" s="32"/>
      <c r="M1540" s="25"/>
    </row>
    <row r="1541" spans="1:13" ht="15.5" x14ac:dyDescent="0.35">
      <c r="A1541" s="2"/>
      <c r="B1541" s="147"/>
      <c r="C1541" s="32"/>
      <c r="M1541" s="25"/>
    </row>
    <row r="1542" spans="1:13" ht="15.5" x14ac:dyDescent="0.35">
      <c r="A1542" s="2"/>
      <c r="B1542" s="147"/>
      <c r="C1542" s="32"/>
      <c r="M1542" s="25"/>
    </row>
    <row r="1543" spans="1:13" ht="15.5" x14ac:dyDescent="0.35">
      <c r="A1543" s="2"/>
      <c r="B1543" s="147"/>
      <c r="C1543" s="32"/>
      <c r="M1543" s="25"/>
    </row>
    <row r="1544" spans="1:13" ht="15.5" x14ac:dyDescent="0.35">
      <c r="A1544" s="2"/>
      <c r="B1544" s="147"/>
      <c r="C1544" s="32"/>
      <c r="M1544" s="25"/>
    </row>
    <row r="1545" spans="1:13" ht="15.5" x14ac:dyDescent="0.35">
      <c r="A1545" s="2"/>
      <c r="B1545" s="147"/>
      <c r="C1545" s="32"/>
      <c r="M1545" s="25"/>
    </row>
    <row r="1546" spans="1:13" ht="15.5" x14ac:dyDescent="0.35">
      <c r="A1546" s="2"/>
      <c r="B1546" s="147"/>
      <c r="C1546" s="32"/>
      <c r="M1546" s="25"/>
    </row>
    <row r="1547" spans="1:13" ht="15.5" x14ac:dyDescent="0.35">
      <c r="A1547" s="2"/>
      <c r="B1547" s="147"/>
      <c r="C1547" s="32"/>
      <c r="M1547" s="25"/>
    </row>
    <row r="1548" spans="1:13" ht="15.5" x14ac:dyDescent="0.35">
      <c r="A1548" s="2"/>
      <c r="B1548" s="147"/>
      <c r="C1548" s="32"/>
      <c r="M1548" s="25"/>
    </row>
    <row r="1549" spans="1:13" ht="15.5" x14ac:dyDescent="0.35">
      <c r="A1549" s="2"/>
      <c r="B1549" s="147"/>
      <c r="C1549" s="32"/>
      <c r="M1549" s="25"/>
    </row>
    <row r="1550" spans="1:13" ht="15.5" x14ac:dyDescent="0.35">
      <c r="A1550" s="2"/>
      <c r="B1550" s="147"/>
      <c r="C1550" s="32"/>
      <c r="M1550" s="25"/>
    </row>
    <row r="1551" spans="1:13" ht="15.5" x14ac:dyDescent="0.35">
      <c r="A1551" s="2"/>
      <c r="B1551" s="147"/>
      <c r="C1551" s="32"/>
      <c r="M1551" s="25"/>
    </row>
    <row r="1552" spans="1:13" ht="15.5" x14ac:dyDescent="0.35">
      <c r="A1552" s="2"/>
      <c r="B1552" s="147"/>
      <c r="C1552" s="32"/>
      <c r="M1552" s="25"/>
    </row>
    <row r="1553" spans="1:13" ht="15.5" x14ac:dyDescent="0.35">
      <c r="A1553" s="2"/>
      <c r="B1553" s="147"/>
      <c r="C1553" s="32"/>
      <c r="M1553" s="25"/>
    </row>
    <row r="1554" spans="1:13" ht="15.5" x14ac:dyDescent="0.35">
      <c r="A1554" s="2"/>
      <c r="B1554" s="147"/>
      <c r="C1554" s="32"/>
      <c r="M1554" s="25"/>
    </row>
    <row r="1555" spans="1:13" ht="15.5" x14ac:dyDescent="0.35">
      <c r="A1555" s="2"/>
      <c r="B1555" s="147"/>
      <c r="C1555" s="32"/>
      <c r="M1555" s="25"/>
    </row>
    <row r="1556" spans="1:13" ht="15.5" x14ac:dyDescent="0.35">
      <c r="A1556" s="2"/>
      <c r="B1556" s="147"/>
      <c r="C1556" s="32"/>
      <c r="M1556" s="25"/>
    </row>
    <row r="1557" spans="1:13" ht="15.5" x14ac:dyDescent="0.35">
      <c r="A1557" s="2"/>
      <c r="B1557" s="147"/>
      <c r="C1557" s="32"/>
      <c r="M1557" s="25"/>
    </row>
    <row r="1558" spans="1:13" ht="15.5" x14ac:dyDescent="0.35">
      <c r="A1558" s="2"/>
      <c r="B1558" s="147"/>
      <c r="C1558" s="32"/>
      <c r="M1558" s="25"/>
    </row>
    <row r="1559" spans="1:13" ht="15.5" x14ac:dyDescent="0.35">
      <c r="A1559" s="2"/>
      <c r="B1559" s="147"/>
      <c r="C1559" s="32"/>
      <c r="M1559" s="25"/>
    </row>
    <row r="1560" spans="1:13" ht="15.5" x14ac:dyDescent="0.35">
      <c r="A1560" s="2"/>
      <c r="B1560" s="147"/>
      <c r="C1560" s="32"/>
      <c r="M1560" s="25"/>
    </row>
    <row r="1561" spans="1:13" ht="15.5" x14ac:dyDescent="0.35">
      <c r="A1561" s="2"/>
      <c r="B1561" s="147"/>
      <c r="C1561" s="32"/>
      <c r="M1561" s="25"/>
    </row>
    <row r="1562" spans="1:13" ht="15.5" x14ac:dyDescent="0.35">
      <c r="A1562" s="2"/>
      <c r="B1562" s="147"/>
      <c r="C1562" s="32"/>
      <c r="M1562" s="25"/>
    </row>
    <row r="1563" spans="1:13" ht="15.5" x14ac:dyDescent="0.35">
      <c r="A1563" s="2"/>
      <c r="B1563" s="147"/>
      <c r="C1563" s="32"/>
      <c r="M1563" s="25"/>
    </row>
    <row r="1564" spans="1:13" ht="15.5" x14ac:dyDescent="0.35">
      <c r="A1564" s="2"/>
      <c r="B1564" s="147"/>
      <c r="C1564" s="32"/>
      <c r="M1564" s="25"/>
    </row>
    <row r="1565" spans="1:13" ht="15.5" x14ac:dyDescent="0.35">
      <c r="A1565" s="2"/>
      <c r="B1565" s="147"/>
      <c r="C1565" s="32"/>
      <c r="M1565" s="25"/>
    </row>
    <row r="1566" spans="1:13" ht="15.5" x14ac:dyDescent="0.35">
      <c r="A1566" s="2"/>
      <c r="B1566" s="147"/>
      <c r="C1566" s="32"/>
      <c r="M1566" s="25"/>
    </row>
    <row r="1567" spans="1:13" ht="15.5" x14ac:dyDescent="0.35">
      <c r="A1567" s="2"/>
      <c r="B1567" s="147"/>
      <c r="C1567" s="32"/>
      <c r="M1567" s="25"/>
    </row>
    <row r="1568" spans="1:13" ht="15.5" x14ac:dyDescent="0.35">
      <c r="A1568" s="2"/>
      <c r="B1568" s="147"/>
      <c r="C1568" s="32"/>
      <c r="M1568" s="25"/>
    </row>
    <row r="1569" spans="1:13" ht="15.5" x14ac:dyDescent="0.35">
      <c r="A1569" s="2"/>
      <c r="B1569" s="147"/>
      <c r="C1569" s="32"/>
      <c r="M1569" s="25"/>
    </row>
    <row r="1570" spans="1:13" ht="15.5" x14ac:dyDescent="0.35">
      <c r="A1570" s="2"/>
      <c r="B1570" s="147"/>
      <c r="C1570" s="32"/>
      <c r="M1570" s="25"/>
    </row>
    <row r="1571" spans="1:13" ht="15.5" x14ac:dyDescent="0.35">
      <c r="A1571" s="2"/>
      <c r="B1571" s="147"/>
      <c r="C1571" s="32"/>
      <c r="M1571" s="25"/>
    </row>
    <row r="1572" spans="1:13" ht="15.5" x14ac:dyDescent="0.35">
      <c r="A1572" s="2"/>
      <c r="B1572" s="147"/>
      <c r="C1572" s="32"/>
      <c r="M1572" s="25"/>
    </row>
    <row r="1573" spans="1:13" ht="15.5" x14ac:dyDescent="0.35">
      <c r="A1573" s="2"/>
      <c r="B1573" s="147"/>
      <c r="C1573" s="32"/>
      <c r="M1573" s="25"/>
    </row>
    <row r="1574" spans="1:13" ht="15.5" x14ac:dyDescent="0.35">
      <c r="A1574" s="2"/>
      <c r="B1574" s="147"/>
      <c r="C1574" s="32"/>
      <c r="M1574" s="25"/>
    </row>
    <row r="1575" spans="1:13" ht="15.5" x14ac:dyDescent="0.35">
      <c r="A1575" s="2"/>
      <c r="B1575" s="147"/>
      <c r="C1575" s="32"/>
      <c r="M1575" s="25"/>
    </row>
    <row r="1576" spans="1:13" ht="15.5" x14ac:dyDescent="0.35">
      <c r="A1576" s="2"/>
      <c r="B1576" s="147"/>
      <c r="C1576" s="32"/>
      <c r="M1576" s="25"/>
    </row>
    <row r="1577" spans="1:13" ht="15.5" x14ac:dyDescent="0.35">
      <c r="A1577" s="2"/>
      <c r="B1577" s="147"/>
      <c r="C1577" s="32"/>
      <c r="M1577" s="25"/>
    </row>
    <row r="1578" spans="1:13" ht="15.5" x14ac:dyDescent="0.35">
      <c r="A1578" s="2"/>
      <c r="B1578" s="147"/>
      <c r="C1578" s="32"/>
      <c r="M1578" s="25"/>
    </row>
    <row r="1579" spans="1:13" ht="15.5" x14ac:dyDescent="0.35">
      <c r="A1579" s="2"/>
      <c r="B1579" s="147"/>
      <c r="C1579" s="32"/>
      <c r="M1579" s="25"/>
    </row>
    <row r="1580" spans="1:13" ht="15.5" x14ac:dyDescent="0.35">
      <c r="A1580" s="2"/>
      <c r="B1580" s="147"/>
      <c r="C1580" s="32"/>
      <c r="M1580" s="25"/>
    </row>
    <row r="1581" spans="1:13" ht="15.5" x14ac:dyDescent="0.35">
      <c r="A1581" s="2"/>
      <c r="B1581" s="147"/>
      <c r="C1581" s="32"/>
      <c r="M1581" s="25"/>
    </row>
    <row r="1582" spans="1:13" ht="15.5" x14ac:dyDescent="0.35">
      <c r="A1582" s="2"/>
      <c r="B1582" s="147"/>
      <c r="C1582" s="32"/>
      <c r="M1582" s="25"/>
    </row>
    <row r="1583" spans="1:13" ht="15.5" x14ac:dyDescent="0.35">
      <c r="A1583" s="2"/>
      <c r="B1583" s="147"/>
      <c r="C1583" s="32"/>
      <c r="M1583" s="25"/>
    </row>
    <row r="1584" spans="1:13" ht="15.5" x14ac:dyDescent="0.35">
      <c r="A1584" s="2"/>
      <c r="B1584" s="147"/>
      <c r="C1584" s="32"/>
      <c r="M1584" s="25"/>
    </row>
    <row r="1585" spans="1:13" ht="15.5" x14ac:dyDescent="0.35">
      <c r="A1585" s="2"/>
      <c r="B1585" s="147"/>
      <c r="C1585" s="32"/>
      <c r="M1585" s="25"/>
    </row>
    <row r="1586" spans="1:13" ht="15.5" x14ac:dyDescent="0.35">
      <c r="A1586" s="2"/>
      <c r="B1586" s="147"/>
      <c r="C1586" s="32"/>
      <c r="M1586" s="25"/>
    </row>
    <row r="1587" spans="1:13" ht="15.5" x14ac:dyDescent="0.35">
      <c r="A1587" s="2"/>
      <c r="B1587" s="147"/>
      <c r="C1587" s="32"/>
      <c r="M1587" s="25"/>
    </row>
    <row r="1588" spans="1:13" ht="15.5" x14ac:dyDescent="0.35">
      <c r="A1588" s="2"/>
      <c r="B1588" s="147"/>
      <c r="C1588" s="32"/>
      <c r="M1588" s="25"/>
    </row>
    <row r="1589" spans="1:13" ht="15.5" x14ac:dyDescent="0.35">
      <c r="A1589" s="2"/>
      <c r="B1589" s="147"/>
      <c r="C1589" s="32"/>
      <c r="M1589" s="25"/>
    </row>
    <row r="1590" spans="1:13" ht="15.5" x14ac:dyDescent="0.35">
      <c r="A1590" s="2"/>
      <c r="B1590" s="147"/>
      <c r="C1590" s="32"/>
      <c r="M1590" s="25"/>
    </row>
    <row r="1591" spans="1:13" ht="15.5" x14ac:dyDescent="0.35">
      <c r="A1591" s="2"/>
      <c r="B1591" s="147"/>
      <c r="C1591" s="32"/>
      <c r="M1591" s="25"/>
    </row>
    <row r="1592" spans="1:13" ht="15.5" x14ac:dyDescent="0.35">
      <c r="A1592" s="2"/>
      <c r="B1592" s="147"/>
      <c r="C1592" s="32"/>
      <c r="M1592" s="25"/>
    </row>
    <row r="1593" spans="1:13" ht="15.5" x14ac:dyDescent="0.35">
      <c r="A1593" s="2"/>
      <c r="B1593" s="147"/>
      <c r="C1593" s="32"/>
      <c r="M1593" s="25"/>
    </row>
    <row r="1594" spans="1:13" ht="15.5" x14ac:dyDescent="0.35">
      <c r="A1594" s="2"/>
      <c r="B1594" s="147"/>
      <c r="C1594" s="32"/>
      <c r="M1594" s="25"/>
    </row>
    <row r="1595" spans="1:13" ht="15.5" x14ac:dyDescent="0.35">
      <c r="A1595" s="2"/>
      <c r="B1595" s="147"/>
      <c r="C1595" s="32"/>
      <c r="M1595" s="25"/>
    </row>
    <row r="1596" spans="1:13" ht="15.5" x14ac:dyDescent="0.35">
      <c r="A1596" s="2"/>
      <c r="B1596" s="147"/>
      <c r="C1596" s="32"/>
      <c r="M1596" s="25"/>
    </row>
    <row r="1597" spans="1:13" ht="15.5" x14ac:dyDescent="0.35">
      <c r="A1597" s="2"/>
      <c r="B1597" s="147"/>
      <c r="C1597" s="32"/>
      <c r="M1597" s="25"/>
    </row>
    <row r="1598" spans="1:13" ht="15.5" x14ac:dyDescent="0.35">
      <c r="A1598" s="2"/>
      <c r="B1598" s="147"/>
      <c r="C1598" s="32"/>
      <c r="M1598" s="25"/>
    </row>
    <row r="1599" spans="1:13" ht="15.5" x14ac:dyDescent="0.35">
      <c r="A1599" s="2"/>
      <c r="B1599" s="147"/>
      <c r="C1599" s="32"/>
      <c r="M1599" s="25"/>
    </row>
    <row r="1600" spans="1:13" ht="15.5" x14ac:dyDescent="0.35">
      <c r="A1600" s="2"/>
      <c r="B1600" s="147"/>
      <c r="C1600" s="32"/>
      <c r="M1600" s="25"/>
    </row>
    <row r="1601" spans="1:13" ht="15.5" x14ac:dyDescent="0.35">
      <c r="A1601" s="2"/>
      <c r="B1601" s="147"/>
      <c r="C1601" s="32"/>
      <c r="M1601" s="25"/>
    </row>
    <row r="1602" spans="1:13" ht="15.5" x14ac:dyDescent="0.35">
      <c r="A1602" s="2"/>
      <c r="B1602" s="147"/>
      <c r="C1602" s="32"/>
      <c r="M1602" s="25"/>
    </row>
    <row r="1603" spans="1:13" ht="15.5" x14ac:dyDescent="0.35">
      <c r="A1603" s="2"/>
      <c r="B1603" s="147"/>
      <c r="C1603" s="32"/>
      <c r="M1603" s="25"/>
    </row>
    <row r="1604" spans="1:13" ht="15.5" x14ac:dyDescent="0.35">
      <c r="A1604" s="2"/>
      <c r="B1604" s="147"/>
      <c r="C1604" s="32"/>
      <c r="M1604" s="25"/>
    </row>
    <row r="1605" spans="1:13" ht="15.5" x14ac:dyDescent="0.35">
      <c r="A1605" s="2"/>
      <c r="B1605" s="147"/>
      <c r="C1605" s="32"/>
      <c r="M1605" s="25"/>
    </row>
    <row r="1606" spans="1:13" ht="15.5" x14ac:dyDescent="0.35">
      <c r="A1606" s="2"/>
      <c r="B1606" s="147"/>
      <c r="C1606" s="32"/>
      <c r="M1606" s="25"/>
    </row>
    <row r="1607" spans="1:13" ht="15.5" x14ac:dyDescent="0.35">
      <c r="A1607" s="2"/>
      <c r="B1607" s="147"/>
      <c r="C1607" s="32"/>
      <c r="M1607" s="25"/>
    </row>
    <row r="1608" spans="1:13" ht="15.5" x14ac:dyDescent="0.35">
      <c r="A1608" s="2"/>
      <c r="B1608" s="147"/>
      <c r="C1608" s="32"/>
      <c r="M1608" s="25"/>
    </row>
    <row r="1609" spans="1:13" ht="15.5" x14ac:dyDescent="0.35">
      <c r="A1609" s="2"/>
      <c r="B1609" s="147"/>
      <c r="C1609" s="32"/>
      <c r="M1609" s="25"/>
    </row>
    <row r="1610" spans="1:13" ht="15.5" x14ac:dyDescent="0.35">
      <c r="A1610" s="2"/>
      <c r="B1610" s="147"/>
      <c r="C1610" s="32"/>
      <c r="M1610" s="25"/>
    </row>
    <row r="1611" spans="1:13" ht="15.5" x14ac:dyDescent="0.35">
      <c r="A1611" s="2"/>
      <c r="B1611" s="147"/>
      <c r="C1611" s="32"/>
      <c r="M1611" s="25"/>
    </row>
    <row r="1612" spans="1:13" ht="15.5" x14ac:dyDescent="0.35">
      <c r="A1612" s="2"/>
      <c r="B1612" s="147"/>
      <c r="C1612" s="32"/>
      <c r="M1612" s="25"/>
    </row>
    <row r="1613" spans="1:13" ht="15.5" x14ac:dyDescent="0.35">
      <c r="A1613" s="2"/>
      <c r="B1613" s="147"/>
      <c r="C1613" s="32"/>
      <c r="M1613" s="25"/>
    </row>
    <row r="1614" spans="1:13" ht="15.5" x14ac:dyDescent="0.35">
      <c r="A1614" s="2"/>
      <c r="B1614" s="147"/>
      <c r="C1614" s="32"/>
      <c r="M1614" s="25"/>
    </row>
    <row r="1615" spans="1:13" ht="15.5" x14ac:dyDescent="0.35">
      <c r="A1615" s="2"/>
      <c r="B1615" s="147"/>
      <c r="C1615" s="32"/>
      <c r="M1615" s="25"/>
    </row>
    <row r="1616" spans="1:13" ht="15.5" x14ac:dyDescent="0.35">
      <c r="A1616" s="2"/>
      <c r="B1616" s="147"/>
      <c r="C1616" s="32"/>
      <c r="M1616" s="25"/>
    </row>
    <row r="1617" spans="1:13" ht="15.5" x14ac:dyDescent="0.35">
      <c r="A1617" s="2"/>
      <c r="B1617" s="147"/>
      <c r="C1617" s="32"/>
      <c r="M1617" s="25"/>
    </row>
    <row r="1618" spans="1:13" ht="15.5" x14ac:dyDescent="0.35">
      <c r="A1618" s="2"/>
      <c r="B1618" s="147"/>
      <c r="C1618" s="32"/>
      <c r="M1618" s="25"/>
    </row>
    <row r="1619" spans="1:13" ht="15.5" x14ac:dyDescent="0.35">
      <c r="A1619" s="2"/>
      <c r="B1619" s="147"/>
      <c r="C1619" s="32"/>
      <c r="M1619" s="25"/>
    </row>
    <row r="1620" spans="1:13" ht="15.5" x14ac:dyDescent="0.35">
      <c r="A1620" s="2"/>
      <c r="B1620" s="147"/>
      <c r="C1620" s="32"/>
      <c r="M1620" s="25"/>
    </row>
    <row r="1621" spans="1:13" ht="15.5" x14ac:dyDescent="0.35">
      <c r="A1621" s="2"/>
      <c r="B1621" s="147"/>
      <c r="C1621" s="32"/>
      <c r="M1621" s="25"/>
    </row>
    <row r="1622" spans="1:13" ht="15.5" x14ac:dyDescent="0.35">
      <c r="A1622" s="2"/>
      <c r="B1622" s="147"/>
      <c r="C1622" s="32"/>
      <c r="M1622" s="25"/>
    </row>
    <row r="1623" spans="1:13" ht="15.5" x14ac:dyDescent="0.35">
      <c r="A1623" s="2"/>
      <c r="B1623" s="147"/>
      <c r="C1623" s="32"/>
      <c r="M1623" s="25"/>
    </row>
    <row r="1624" spans="1:13" ht="15.5" x14ac:dyDescent="0.35">
      <c r="A1624" s="2"/>
      <c r="B1624" s="147"/>
      <c r="C1624" s="32"/>
      <c r="M1624" s="25"/>
    </row>
    <row r="1625" spans="1:13" ht="15.5" x14ac:dyDescent="0.35">
      <c r="A1625" s="2"/>
      <c r="B1625" s="147"/>
      <c r="C1625" s="32"/>
      <c r="M1625" s="25"/>
    </row>
    <row r="1626" spans="1:13" ht="15.5" x14ac:dyDescent="0.35">
      <c r="A1626" s="2"/>
      <c r="B1626" s="147"/>
      <c r="C1626" s="32"/>
      <c r="M1626" s="25"/>
    </row>
    <row r="1627" spans="1:13" ht="15.5" x14ac:dyDescent="0.35">
      <c r="A1627" s="2"/>
      <c r="B1627" s="147"/>
      <c r="C1627" s="32"/>
      <c r="M1627" s="25"/>
    </row>
    <row r="1628" spans="1:13" ht="15.5" x14ac:dyDescent="0.35">
      <c r="A1628" s="2"/>
      <c r="B1628" s="147"/>
      <c r="C1628" s="32"/>
      <c r="M1628" s="25"/>
    </row>
    <row r="1629" spans="1:13" ht="15.5" x14ac:dyDescent="0.35">
      <c r="A1629" s="2"/>
      <c r="B1629" s="147"/>
      <c r="C1629" s="32"/>
      <c r="M1629" s="25"/>
    </row>
    <row r="1630" spans="1:13" ht="15.5" x14ac:dyDescent="0.35">
      <c r="A1630" s="2"/>
      <c r="B1630" s="147"/>
      <c r="C1630" s="32"/>
      <c r="M1630" s="25"/>
    </row>
    <row r="1631" spans="1:13" ht="15.5" x14ac:dyDescent="0.35">
      <c r="A1631" s="2"/>
      <c r="B1631" s="147"/>
      <c r="C1631" s="32"/>
      <c r="M1631" s="25"/>
    </row>
    <row r="1632" spans="1:13" ht="15.5" x14ac:dyDescent="0.35">
      <c r="A1632" s="2"/>
      <c r="B1632" s="147"/>
      <c r="C1632" s="32"/>
      <c r="M1632" s="25"/>
    </row>
    <row r="1633" spans="1:13" ht="15.5" x14ac:dyDescent="0.35">
      <c r="A1633" s="2"/>
      <c r="B1633" s="147"/>
      <c r="C1633" s="32"/>
      <c r="M1633" s="25"/>
    </row>
    <row r="1634" spans="1:13" ht="15.5" x14ac:dyDescent="0.35">
      <c r="A1634" s="2"/>
      <c r="B1634" s="147"/>
      <c r="C1634" s="32"/>
      <c r="M1634" s="25"/>
    </row>
    <row r="1635" spans="1:13" ht="15.5" x14ac:dyDescent="0.35">
      <c r="A1635" s="2"/>
      <c r="B1635" s="147"/>
      <c r="C1635" s="32"/>
      <c r="M1635" s="25"/>
    </row>
    <row r="1636" spans="1:13" ht="15.5" x14ac:dyDescent="0.35">
      <c r="A1636" s="2"/>
      <c r="B1636" s="147"/>
      <c r="C1636" s="32"/>
      <c r="M1636" s="25"/>
    </row>
    <row r="1637" spans="1:13" ht="15.5" x14ac:dyDescent="0.35">
      <c r="A1637" s="2"/>
      <c r="B1637" s="147"/>
      <c r="C1637" s="32"/>
      <c r="M1637" s="25"/>
    </row>
    <row r="1638" spans="1:13" ht="15.5" x14ac:dyDescent="0.35">
      <c r="A1638" s="2"/>
      <c r="B1638" s="147"/>
      <c r="C1638" s="32"/>
      <c r="M1638" s="25"/>
    </row>
    <row r="1639" spans="1:13" ht="15.5" x14ac:dyDescent="0.35">
      <c r="A1639" s="2"/>
      <c r="B1639" s="147"/>
      <c r="C1639" s="32"/>
      <c r="M1639" s="25"/>
    </row>
    <row r="1640" spans="1:13" ht="15.5" x14ac:dyDescent="0.35">
      <c r="A1640" s="2"/>
      <c r="B1640" s="147"/>
      <c r="C1640" s="32"/>
      <c r="M1640" s="25"/>
    </row>
    <row r="1641" spans="1:13" ht="15.5" x14ac:dyDescent="0.35">
      <c r="A1641" s="2"/>
      <c r="B1641" s="147"/>
      <c r="C1641" s="32"/>
      <c r="M1641" s="25"/>
    </row>
    <row r="1642" spans="1:13" ht="15.5" x14ac:dyDescent="0.35">
      <c r="A1642" s="2"/>
      <c r="B1642" s="147"/>
      <c r="C1642" s="32"/>
      <c r="M1642" s="25"/>
    </row>
    <row r="1643" spans="1:13" ht="15.5" x14ac:dyDescent="0.35">
      <c r="A1643" s="2"/>
      <c r="B1643" s="147"/>
      <c r="C1643" s="32"/>
      <c r="M1643" s="25"/>
    </row>
    <row r="1644" spans="1:13" ht="15.5" x14ac:dyDescent="0.35">
      <c r="A1644" s="2"/>
      <c r="B1644" s="147"/>
      <c r="C1644" s="32"/>
      <c r="M1644" s="25"/>
    </row>
    <row r="1645" spans="1:13" ht="15.5" x14ac:dyDescent="0.35">
      <c r="A1645" s="2"/>
      <c r="B1645" s="147"/>
      <c r="C1645" s="32"/>
      <c r="M1645" s="25"/>
    </row>
    <row r="1646" spans="1:13" ht="15.5" x14ac:dyDescent="0.35">
      <c r="A1646" s="2"/>
      <c r="B1646" s="147"/>
      <c r="C1646" s="32"/>
      <c r="M1646" s="25"/>
    </row>
    <row r="1647" spans="1:13" ht="15.5" x14ac:dyDescent="0.35">
      <c r="A1647" s="2"/>
      <c r="B1647" s="147"/>
      <c r="C1647" s="32"/>
      <c r="M1647" s="25"/>
    </row>
    <row r="1648" spans="1:13" ht="15.5" x14ac:dyDescent="0.35">
      <c r="A1648" s="2"/>
      <c r="B1648" s="147"/>
      <c r="C1648" s="32"/>
      <c r="M1648" s="25"/>
    </row>
    <row r="1649" spans="1:13" ht="15.5" x14ac:dyDescent="0.35">
      <c r="A1649" s="2"/>
      <c r="B1649" s="147"/>
      <c r="C1649" s="32"/>
      <c r="M1649" s="25"/>
    </row>
    <row r="1650" spans="1:13" ht="15.5" x14ac:dyDescent="0.35">
      <c r="A1650" s="2"/>
      <c r="B1650" s="147"/>
      <c r="C1650" s="32"/>
      <c r="M1650" s="25"/>
    </row>
    <row r="1651" spans="1:13" ht="15.5" x14ac:dyDescent="0.35">
      <c r="A1651" s="2"/>
      <c r="B1651" s="147"/>
      <c r="C1651" s="32"/>
      <c r="M1651" s="25"/>
    </row>
    <row r="1652" spans="1:13" ht="15.5" x14ac:dyDescent="0.35">
      <c r="A1652" s="2"/>
      <c r="B1652" s="147"/>
      <c r="C1652" s="32"/>
      <c r="M1652" s="25"/>
    </row>
    <row r="1653" spans="1:13" ht="15.5" x14ac:dyDescent="0.35">
      <c r="A1653" s="2"/>
      <c r="B1653" s="147"/>
      <c r="C1653" s="32"/>
      <c r="M1653" s="25"/>
    </row>
    <row r="1654" spans="1:13" ht="15.5" x14ac:dyDescent="0.35">
      <c r="A1654" s="2"/>
      <c r="B1654" s="147"/>
      <c r="C1654" s="32"/>
      <c r="M1654" s="25"/>
    </row>
    <row r="1655" spans="1:13" ht="15.5" x14ac:dyDescent="0.35">
      <c r="A1655" s="2"/>
      <c r="B1655" s="147"/>
      <c r="C1655" s="32"/>
      <c r="M1655" s="25"/>
    </row>
    <row r="1656" spans="1:13" ht="15.5" x14ac:dyDescent="0.35">
      <c r="A1656" s="2"/>
      <c r="B1656" s="147"/>
      <c r="C1656" s="32"/>
      <c r="M1656" s="25"/>
    </row>
    <row r="1657" spans="1:13" ht="15.5" x14ac:dyDescent="0.35">
      <c r="A1657" s="2"/>
      <c r="B1657" s="147"/>
      <c r="C1657" s="32"/>
      <c r="M1657" s="25"/>
    </row>
    <row r="1658" spans="1:13" ht="15.5" x14ac:dyDescent="0.35">
      <c r="A1658" s="2"/>
      <c r="B1658" s="147"/>
      <c r="C1658" s="32"/>
      <c r="M1658" s="25"/>
    </row>
    <row r="1659" spans="1:13" ht="15.5" x14ac:dyDescent="0.35">
      <c r="A1659" s="2"/>
      <c r="B1659" s="147"/>
      <c r="C1659" s="32"/>
      <c r="M1659" s="25"/>
    </row>
    <row r="1660" spans="1:13" ht="15.5" x14ac:dyDescent="0.35">
      <c r="A1660" s="2"/>
      <c r="B1660" s="147"/>
      <c r="C1660" s="32"/>
      <c r="M1660" s="25"/>
    </row>
    <row r="1661" spans="1:13" ht="15.5" x14ac:dyDescent="0.35">
      <c r="A1661" s="2"/>
      <c r="B1661" s="147"/>
      <c r="C1661" s="32"/>
      <c r="M1661" s="25"/>
    </row>
    <row r="1662" spans="1:13" ht="15.5" x14ac:dyDescent="0.35">
      <c r="A1662" s="2"/>
      <c r="B1662" s="147"/>
      <c r="C1662" s="32"/>
      <c r="M1662" s="25"/>
    </row>
    <row r="1663" spans="1:13" ht="15.5" x14ac:dyDescent="0.35">
      <c r="A1663" s="2"/>
      <c r="B1663" s="147"/>
      <c r="C1663" s="32"/>
      <c r="M1663" s="25"/>
    </row>
    <row r="1664" spans="1:13" ht="15.5" x14ac:dyDescent="0.35">
      <c r="A1664" s="2"/>
      <c r="B1664" s="147"/>
      <c r="C1664" s="32"/>
      <c r="M1664" s="25"/>
    </row>
    <row r="1665" spans="1:13" ht="15.5" x14ac:dyDescent="0.35">
      <c r="A1665" s="2"/>
      <c r="B1665" s="147"/>
      <c r="C1665" s="32"/>
      <c r="M1665" s="25"/>
    </row>
    <row r="1666" spans="1:13" ht="15.5" x14ac:dyDescent="0.35">
      <c r="A1666" s="2"/>
      <c r="B1666" s="147"/>
      <c r="C1666" s="32"/>
      <c r="M1666" s="25"/>
    </row>
    <row r="1667" spans="1:13" ht="15.5" x14ac:dyDescent="0.35">
      <c r="A1667" s="2"/>
      <c r="B1667" s="147"/>
      <c r="C1667" s="32"/>
      <c r="M1667" s="25"/>
    </row>
    <row r="1668" spans="1:13" ht="15.5" x14ac:dyDescent="0.35">
      <c r="A1668" s="2"/>
      <c r="B1668" s="147"/>
      <c r="C1668" s="32"/>
      <c r="M1668" s="25"/>
    </row>
    <row r="1669" spans="1:13" ht="15.5" x14ac:dyDescent="0.35">
      <c r="A1669" s="2"/>
      <c r="B1669" s="147"/>
      <c r="C1669" s="32"/>
      <c r="M1669" s="25"/>
    </row>
    <row r="1670" spans="1:13" ht="15.5" x14ac:dyDescent="0.35">
      <c r="A1670" s="2"/>
      <c r="B1670" s="147"/>
      <c r="C1670" s="32"/>
      <c r="M1670" s="25"/>
    </row>
    <row r="1671" spans="1:13" ht="15.5" x14ac:dyDescent="0.35">
      <c r="A1671" s="2"/>
      <c r="B1671" s="147"/>
      <c r="C1671" s="32"/>
      <c r="M1671" s="25"/>
    </row>
    <row r="1672" spans="1:13" ht="15.5" x14ac:dyDescent="0.35">
      <c r="A1672" s="2"/>
      <c r="B1672" s="147"/>
      <c r="C1672" s="32"/>
      <c r="M1672" s="25"/>
    </row>
    <row r="1673" spans="1:13" ht="15.5" x14ac:dyDescent="0.35">
      <c r="A1673" s="2"/>
      <c r="B1673" s="147"/>
      <c r="C1673" s="32"/>
      <c r="M1673" s="25"/>
    </row>
    <row r="1674" spans="1:13" ht="15.5" x14ac:dyDescent="0.35">
      <c r="A1674" s="2"/>
      <c r="B1674" s="147"/>
      <c r="C1674" s="32"/>
      <c r="M1674" s="25"/>
    </row>
    <row r="1675" spans="1:13" ht="15.5" x14ac:dyDescent="0.35">
      <c r="A1675" s="2"/>
      <c r="B1675" s="147"/>
      <c r="C1675" s="32"/>
      <c r="M1675" s="25"/>
    </row>
    <row r="1676" spans="1:13" ht="15.5" x14ac:dyDescent="0.35">
      <c r="A1676" s="2"/>
      <c r="B1676" s="147"/>
      <c r="C1676" s="32"/>
      <c r="M1676" s="25"/>
    </row>
    <row r="1677" spans="1:13" ht="15.5" x14ac:dyDescent="0.35">
      <c r="A1677" s="2"/>
      <c r="B1677" s="147"/>
      <c r="C1677" s="32"/>
      <c r="M1677" s="25"/>
    </row>
    <row r="1678" spans="1:13" ht="15.5" x14ac:dyDescent="0.35">
      <c r="A1678" s="2"/>
      <c r="B1678" s="147"/>
      <c r="C1678" s="32"/>
      <c r="M1678" s="25"/>
    </row>
    <row r="1679" spans="1:13" ht="15.5" x14ac:dyDescent="0.35">
      <c r="A1679" s="2"/>
      <c r="B1679" s="147"/>
      <c r="C1679" s="32"/>
      <c r="M1679" s="25"/>
    </row>
    <row r="1680" spans="1:13" ht="15.5" x14ac:dyDescent="0.35">
      <c r="A1680" s="2"/>
      <c r="B1680" s="147"/>
      <c r="C1680" s="32"/>
      <c r="M1680" s="25"/>
    </row>
    <row r="1681" spans="1:13" ht="15.5" x14ac:dyDescent="0.35">
      <c r="A1681" s="2"/>
      <c r="B1681" s="147"/>
      <c r="C1681" s="32"/>
      <c r="M1681" s="25"/>
    </row>
    <row r="1682" spans="1:13" ht="15.5" x14ac:dyDescent="0.35">
      <c r="A1682" s="2"/>
      <c r="B1682" s="147"/>
      <c r="C1682" s="32"/>
      <c r="M1682" s="25"/>
    </row>
    <row r="1683" spans="1:13" ht="15.5" x14ac:dyDescent="0.35">
      <c r="A1683" s="2"/>
      <c r="B1683" s="147"/>
      <c r="C1683" s="32"/>
      <c r="M1683" s="25"/>
    </row>
    <row r="1684" spans="1:13" ht="15.5" x14ac:dyDescent="0.35">
      <c r="A1684" s="2"/>
      <c r="B1684" s="147"/>
      <c r="C1684" s="32"/>
      <c r="M1684" s="25"/>
    </row>
    <row r="1685" spans="1:13" ht="15.5" x14ac:dyDescent="0.35">
      <c r="A1685" s="2"/>
      <c r="B1685" s="147"/>
      <c r="C1685" s="32"/>
      <c r="M1685" s="25"/>
    </row>
    <row r="1686" spans="1:13" ht="15.5" x14ac:dyDescent="0.35">
      <c r="A1686" s="2"/>
      <c r="B1686" s="147"/>
      <c r="C1686" s="32"/>
      <c r="M1686" s="25"/>
    </row>
    <row r="1687" spans="1:13" ht="15.5" x14ac:dyDescent="0.35">
      <c r="A1687" s="2"/>
      <c r="B1687" s="147"/>
      <c r="C1687" s="32"/>
      <c r="M1687" s="25"/>
    </row>
    <row r="1688" spans="1:13" ht="15.5" x14ac:dyDescent="0.35">
      <c r="A1688" s="2"/>
      <c r="B1688" s="147"/>
      <c r="C1688" s="32"/>
      <c r="M1688" s="25"/>
    </row>
    <row r="1689" spans="1:13" ht="15.5" x14ac:dyDescent="0.35">
      <c r="A1689" s="2"/>
      <c r="B1689" s="147"/>
      <c r="C1689" s="32"/>
      <c r="M1689" s="25"/>
    </row>
    <row r="1690" spans="1:13" ht="15.5" x14ac:dyDescent="0.35">
      <c r="A1690" s="2"/>
      <c r="B1690" s="147"/>
      <c r="C1690" s="32"/>
      <c r="M1690" s="25"/>
    </row>
    <row r="1691" spans="1:13" ht="15.5" x14ac:dyDescent="0.35">
      <c r="A1691" s="2"/>
      <c r="B1691" s="147"/>
      <c r="C1691" s="32"/>
      <c r="M1691" s="25"/>
    </row>
    <row r="1692" spans="1:13" ht="15.5" x14ac:dyDescent="0.35">
      <c r="A1692" s="2"/>
      <c r="B1692" s="147"/>
      <c r="C1692" s="32"/>
      <c r="M1692" s="25"/>
    </row>
    <row r="1693" spans="1:13" ht="15.5" x14ac:dyDescent="0.35">
      <c r="A1693" s="2"/>
      <c r="B1693" s="147"/>
      <c r="C1693" s="32"/>
      <c r="M1693" s="25"/>
    </row>
    <row r="1694" spans="1:13" ht="15.5" x14ac:dyDescent="0.35">
      <c r="A1694" s="2"/>
      <c r="B1694" s="147"/>
      <c r="C1694" s="32"/>
      <c r="M1694" s="25"/>
    </row>
    <row r="1695" spans="1:13" ht="15.5" x14ac:dyDescent="0.35">
      <c r="A1695" s="2"/>
      <c r="B1695" s="147"/>
      <c r="C1695" s="32"/>
      <c r="M1695" s="25"/>
    </row>
    <row r="1696" spans="1:13" ht="15.5" x14ac:dyDescent="0.35">
      <c r="A1696" s="2"/>
      <c r="B1696" s="147"/>
      <c r="C1696" s="32"/>
      <c r="M1696" s="25"/>
    </row>
    <row r="1697" spans="1:13" ht="15.5" x14ac:dyDescent="0.35">
      <c r="A1697" s="2"/>
      <c r="B1697" s="147"/>
      <c r="C1697" s="32"/>
      <c r="M1697" s="25"/>
    </row>
    <row r="1698" spans="1:13" ht="15.5" x14ac:dyDescent="0.35">
      <c r="A1698" s="2"/>
      <c r="B1698" s="147"/>
      <c r="C1698" s="32"/>
      <c r="M1698" s="25"/>
    </row>
    <row r="1699" spans="1:13" ht="15.5" x14ac:dyDescent="0.35">
      <c r="A1699" s="2"/>
      <c r="B1699" s="147"/>
      <c r="C1699" s="32"/>
      <c r="M1699" s="25"/>
    </row>
    <row r="1700" spans="1:13" ht="15.5" x14ac:dyDescent="0.35">
      <c r="A1700" s="2"/>
      <c r="B1700" s="147"/>
      <c r="C1700" s="32"/>
      <c r="M1700" s="25"/>
    </row>
    <row r="1701" spans="1:13" ht="15.5" x14ac:dyDescent="0.35">
      <c r="A1701" s="2"/>
      <c r="B1701" s="147"/>
      <c r="C1701" s="32"/>
      <c r="M1701" s="25"/>
    </row>
    <row r="1702" spans="1:13" ht="15.5" x14ac:dyDescent="0.35">
      <c r="A1702" s="2"/>
      <c r="B1702" s="147"/>
      <c r="C1702" s="32"/>
      <c r="M1702" s="25"/>
    </row>
    <row r="1703" spans="1:13" ht="15.5" x14ac:dyDescent="0.35">
      <c r="A1703" s="2"/>
      <c r="B1703" s="147"/>
      <c r="C1703" s="32"/>
      <c r="M1703" s="25"/>
    </row>
    <row r="1704" spans="1:13" ht="15.5" x14ac:dyDescent="0.35">
      <c r="A1704" s="2"/>
      <c r="B1704" s="147"/>
      <c r="C1704" s="32"/>
      <c r="M1704" s="25"/>
    </row>
    <row r="1705" spans="1:13" ht="15.5" x14ac:dyDescent="0.35">
      <c r="A1705" s="2"/>
      <c r="B1705" s="147"/>
      <c r="C1705" s="32"/>
      <c r="M1705" s="25"/>
    </row>
    <row r="1706" spans="1:13" ht="15.5" x14ac:dyDescent="0.35">
      <c r="A1706" s="2"/>
      <c r="B1706" s="147"/>
      <c r="C1706" s="32"/>
      <c r="M1706" s="25"/>
    </row>
    <row r="1707" spans="1:13" ht="15.5" x14ac:dyDescent="0.35">
      <c r="A1707" s="2"/>
      <c r="B1707" s="147"/>
      <c r="C1707" s="32"/>
      <c r="M1707" s="25"/>
    </row>
    <row r="1708" spans="1:13" ht="15.5" x14ac:dyDescent="0.35">
      <c r="A1708" s="2"/>
      <c r="B1708" s="147"/>
      <c r="C1708" s="32"/>
      <c r="M1708" s="25"/>
    </row>
    <row r="1709" spans="1:13" ht="15.5" x14ac:dyDescent="0.35">
      <c r="A1709" s="2"/>
      <c r="B1709" s="147"/>
      <c r="C1709" s="32"/>
      <c r="M1709" s="25"/>
    </row>
    <row r="1710" spans="1:13" ht="15.5" x14ac:dyDescent="0.35">
      <c r="A1710" s="2"/>
      <c r="B1710" s="147"/>
      <c r="C1710" s="32"/>
      <c r="M1710" s="25"/>
    </row>
    <row r="1711" spans="1:13" ht="15.5" x14ac:dyDescent="0.35">
      <c r="A1711" s="2"/>
      <c r="B1711" s="147"/>
      <c r="C1711" s="32"/>
      <c r="M1711" s="25"/>
    </row>
    <row r="1712" spans="1:13" ht="15.5" x14ac:dyDescent="0.35">
      <c r="A1712" s="2"/>
      <c r="B1712" s="147"/>
      <c r="C1712" s="32"/>
      <c r="M1712" s="25"/>
    </row>
    <row r="1713" spans="1:13" ht="15.5" x14ac:dyDescent="0.35">
      <c r="A1713" s="2"/>
      <c r="B1713" s="147"/>
      <c r="C1713" s="32"/>
      <c r="M1713" s="25"/>
    </row>
    <row r="1714" spans="1:13" ht="15.5" x14ac:dyDescent="0.35">
      <c r="A1714" s="2"/>
      <c r="B1714" s="147"/>
      <c r="C1714" s="32"/>
      <c r="M1714" s="25"/>
    </row>
    <row r="1715" spans="1:13" ht="15.5" x14ac:dyDescent="0.35">
      <c r="A1715" s="2"/>
      <c r="B1715" s="147"/>
      <c r="C1715" s="32"/>
      <c r="M1715" s="25"/>
    </row>
    <row r="1716" spans="1:13" ht="15.5" x14ac:dyDescent="0.35">
      <c r="A1716" s="2"/>
      <c r="B1716" s="147"/>
      <c r="C1716" s="32"/>
      <c r="M1716" s="25"/>
    </row>
    <row r="1717" spans="1:13" ht="15.5" x14ac:dyDescent="0.35">
      <c r="A1717" s="2"/>
      <c r="B1717" s="147"/>
      <c r="C1717" s="32"/>
      <c r="M1717" s="25"/>
    </row>
    <row r="1718" spans="1:13" ht="15.5" x14ac:dyDescent="0.35">
      <c r="A1718" s="2"/>
      <c r="B1718" s="147"/>
      <c r="C1718" s="32"/>
      <c r="M1718" s="25"/>
    </row>
    <row r="1719" spans="1:13" ht="15.5" x14ac:dyDescent="0.35">
      <c r="A1719" s="2"/>
      <c r="B1719" s="156"/>
      <c r="C1719" s="32"/>
      <c r="M1719" s="25"/>
    </row>
    <row r="1720" spans="1:13" ht="15.5" x14ac:dyDescent="0.35">
      <c r="A1720" s="2"/>
      <c r="B1720" s="156"/>
      <c r="C1720" s="32"/>
      <c r="M1720" s="25"/>
    </row>
    <row r="1721" spans="1:13" ht="15.5" x14ac:dyDescent="0.35">
      <c r="A1721" s="2"/>
      <c r="B1721" s="156"/>
      <c r="C1721" s="32"/>
      <c r="M1721" s="25"/>
    </row>
    <row r="1722" spans="1:13" ht="15.5" x14ac:dyDescent="0.35">
      <c r="A1722" s="2"/>
      <c r="B1722" s="156"/>
      <c r="C1722" s="32"/>
      <c r="M1722" s="25"/>
    </row>
    <row r="1723" spans="1:13" ht="15.5" x14ac:dyDescent="0.35">
      <c r="A1723" s="2"/>
      <c r="B1723" s="156"/>
      <c r="C1723" s="32"/>
      <c r="M1723" s="25"/>
    </row>
    <row r="1724" spans="1:13" ht="15.5" x14ac:dyDescent="0.35">
      <c r="A1724" s="2"/>
      <c r="B1724" s="156"/>
      <c r="C1724" s="32"/>
      <c r="M1724" s="25"/>
    </row>
    <row r="1725" spans="1:13" ht="15.5" x14ac:dyDescent="0.35">
      <c r="A1725" s="2"/>
      <c r="B1725" s="156"/>
      <c r="C1725" s="32"/>
      <c r="M1725" s="25"/>
    </row>
    <row r="1726" spans="1:13" ht="15.5" x14ac:dyDescent="0.35">
      <c r="A1726" s="2"/>
      <c r="B1726" s="156"/>
      <c r="C1726" s="32"/>
      <c r="M1726" s="25"/>
    </row>
    <row r="1727" spans="1:13" ht="15.5" x14ac:dyDescent="0.35">
      <c r="A1727" s="2"/>
      <c r="B1727" s="156"/>
      <c r="C1727" s="32"/>
      <c r="M1727" s="25"/>
    </row>
    <row r="1728" spans="1:13" ht="15.5" x14ac:dyDescent="0.35">
      <c r="A1728" s="2"/>
      <c r="B1728" s="156"/>
      <c r="C1728" s="32"/>
      <c r="M1728" s="25"/>
    </row>
    <row r="1729" spans="1:13" ht="15.5" x14ac:dyDescent="0.35">
      <c r="A1729" s="2"/>
      <c r="B1729" s="156"/>
      <c r="C1729" s="32"/>
      <c r="M1729" s="25"/>
    </row>
    <row r="1730" spans="1:13" ht="15.5" x14ac:dyDescent="0.35">
      <c r="A1730" s="2"/>
      <c r="B1730" s="156"/>
      <c r="C1730" s="32"/>
      <c r="M1730" s="25"/>
    </row>
    <row r="1731" spans="1:13" ht="15.5" x14ac:dyDescent="0.35">
      <c r="A1731" s="2"/>
      <c r="B1731" s="156"/>
      <c r="C1731" s="32"/>
      <c r="M1731" s="25"/>
    </row>
    <row r="1732" spans="1:13" ht="15.5" x14ac:dyDescent="0.35">
      <c r="A1732" s="2"/>
      <c r="B1732" s="156"/>
      <c r="C1732" s="32"/>
      <c r="M1732" s="25"/>
    </row>
    <row r="1733" spans="1:13" ht="15.5" x14ac:dyDescent="0.35">
      <c r="A1733" s="2"/>
      <c r="B1733" s="156"/>
      <c r="C1733" s="32"/>
      <c r="M1733" s="25"/>
    </row>
    <row r="1734" spans="1:13" ht="15.5" x14ac:dyDescent="0.35">
      <c r="A1734" s="2"/>
      <c r="B1734" s="156"/>
      <c r="C1734" s="32"/>
      <c r="M1734" s="25"/>
    </row>
    <row r="1735" spans="1:13" ht="15.5" x14ac:dyDescent="0.35">
      <c r="A1735" s="2"/>
      <c r="B1735" s="156"/>
      <c r="C1735" s="32"/>
      <c r="M1735" s="25"/>
    </row>
    <row r="1736" spans="1:13" ht="15.5" x14ac:dyDescent="0.35">
      <c r="A1736" s="2"/>
      <c r="B1736" s="156"/>
      <c r="C1736" s="32"/>
      <c r="M1736" s="25"/>
    </row>
    <row r="1737" spans="1:13" ht="15.5" x14ac:dyDescent="0.35">
      <c r="A1737" s="2"/>
      <c r="B1737" s="156"/>
      <c r="C1737" s="32"/>
      <c r="M1737" s="25"/>
    </row>
    <row r="1738" spans="1:13" ht="15.5" x14ac:dyDescent="0.35">
      <c r="A1738" s="2"/>
      <c r="B1738" s="156"/>
      <c r="C1738" s="32"/>
      <c r="M1738" s="25"/>
    </row>
    <row r="1739" spans="1:13" ht="15.5" x14ac:dyDescent="0.35">
      <c r="A1739" s="2"/>
      <c r="B1739" s="156"/>
      <c r="C1739" s="32"/>
      <c r="M1739" s="25"/>
    </row>
    <row r="1740" spans="1:13" ht="15.5" x14ac:dyDescent="0.35">
      <c r="A1740" s="2"/>
      <c r="B1740" s="156"/>
      <c r="C1740" s="32"/>
      <c r="M1740" s="25"/>
    </row>
    <row r="1741" spans="1:13" ht="15.5" x14ac:dyDescent="0.35">
      <c r="A1741" s="2"/>
      <c r="B1741" s="156"/>
      <c r="C1741" s="32"/>
      <c r="M1741" s="25"/>
    </row>
    <row r="1742" spans="1:13" ht="15.5" x14ac:dyDescent="0.35">
      <c r="A1742" s="2"/>
      <c r="B1742" s="156"/>
      <c r="C1742" s="32"/>
      <c r="M1742" s="25"/>
    </row>
    <row r="1743" spans="1:13" ht="15.5" x14ac:dyDescent="0.35">
      <c r="A1743" s="2"/>
      <c r="B1743" s="156"/>
      <c r="C1743" s="32"/>
      <c r="M1743" s="25"/>
    </row>
    <row r="1744" spans="1:13" ht="15.5" x14ac:dyDescent="0.35">
      <c r="A1744" s="2"/>
      <c r="B1744" s="156"/>
      <c r="C1744" s="32"/>
      <c r="M1744" s="25"/>
    </row>
    <row r="1745" spans="1:13" ht="15.5" x14ac:dyDescent="0.35">
      <c r="A1745" s="2"/>
      <c r="B1745" s="156"/>
      <c r="C1745" s="32"/>
      <c r="M1745" s="25"/>
    </row>
    <row r="1746" spans="1:13" ht="15.5" x14ac:dyDescent="0.35">
      <c r="A1746" s="2"/>
      <c r="B1746" s="156"/>
      <c r="C1746" s="32"/>
      <c r="M1746" s="25"/>
    </row>
    <row r="1747" spans="1:13" ht="15.5" x14ac:dyDescent="0.35">
      <c r="A1747" s="2"/>
      <c r="B1747" s="156"/>
      <c r="C1747" s="32"/>
      <c r="M1747" s="25"/>
    </row>
    <row r="1748" spans="1:13" ht="15.5" x14ac:dyDescent="0.35">
      <c r="A1748" s="2"/>
      <c r="B1748" s="156"/>
      <c r="C1748" s="32"/>
      <c r="M1748" s="25"/>
    </row>
    <row r="1749" spans="1:13" ht="15.5" x14ac:dyDescent="0.35">
      <c r="A1749" s="2"/>
      <c r="B1749" s="156"/>
      <c r="C1749" s="32"/>
      <c r="M1749" s="25"/>
    </row>
    <row r="1750" spans="1:13" ht="15.5" x14ac:dyDescent="0.35">
      <c r="A1750" s="2"/>
      <c r="B1750" s="156"/>
      <c r="C1750" s="32"/>
      <c r="M1750" s="25"/>
    </row>
    <row r="1751" spans="1:13" ht="15.5" x14ac:dyDescent="0.35">
      <c r="A1751" s="2"/>
      <c r="B1751" s="156"/>
      <c r="C1751" s="32"/>
      <c r="M1751" s="25"/>
    </row>
    <row r="1752" spans="1:13" ht="15.5" x14ac:dyDescent="0.35">
      <c r="A1752" s="2"/>
      <c r="B1752" s="156"/>
      <c r="C1752" s="32"/>
      <c r="M1752" s="25"/>
    </row>
    <row r="1753" spans="1:13" ht="15.5" x14ac:dyDescent="0.35">
      <c r="A1753" s="2"/>
      <c r="B1753" s="156"/>
      <c r="C1753" s="32"/>
      <c r="M1753" s="25"/>
    </row>
    <row r="1754" spans="1:13" ht="15.5" x14ac:dyDescent="0.35">
      <c r="A1754" s="2"/>
      <c r="B1754" s="156"/>
      <c r="C1754" s="32"/>
      <c r="M1754" s="25"/>
    </row>
    <row r="1755" spans="1:13" ht="15.5" x14ac:dyDescent="0.35">
      <c r="A1755" s="2"/>
      <c r="B1755" s="156"/>
      <c r="C1755" s="32"/>
      <c r="M1755" s="25"/>
    </row>
    <row r="1756" spans="1:13" ht="15.5" x14ac:dyDescent="0.35">
      <c r="A1756" s="2"/>
      <c r="B1756" s="156"/>
      <c r="C1756" s="32"/>
      <c r="M1756" s="25"/>
    </row>
    <row r="1757" spans="1:13" ht="15.5" x14ac:dyDescent="0.35">
      <c r="A1757" s="2"/>
      <c r="B1757" s="156"/>
      <c r="C1757" s="32"/>
      <c r="M1757" s="25"/>
    </row>
    <row r="1758" spans="1:13" ht="15.5" x14ac:dyDescent="0.35">
      <c r="A1758" s="2"/>
      <c r="B1758" s="156"/>
      <c r="C1758" s="32"/>
      <c r="M1758" s="25"/>
    </row>
    <row r="1759" spans="1:13" ht="15.5" x14ac:dyDescent="0.35">
      <c r="A1759" s="2"/>
      <c r="B1759" s="156"/>
      <c r="C1759" s="32"/>
      <c r="M1759" s="25"/>
    </row>
    <row r="1760" spans="1:13" ht="15.5" x14ac:dyDescent="0.35">
      <c r="A1760" s="2"/>
      <c r="B1760" s="156"/>
      <c r="C1760" s="32"/>
      <c r="M1760" s="25"/>
    </row>
    <row r="1761" spans="1:13" ht="15.5" x14ac:dyDescent="0.35">
      <c r="A1761" s="2"/>
      <c r="B1761" s="156"/>
      <c r="C1761" s="32"/>
      <c r="M1761" s="25"/>
    </row>
    <row r="1762" spans="1:13" ht="15.5" x14ac:dyDescent="0.35">
      <c r="A1762" s="2"/>
      <c r="B1762" s="156"/>
      <c r="C1762" s="32"/>
      <c r="M1762" s="25"/>
    </row>
    <row r="1763" spans="1:13" ht="15.5" x14ac:dyDescent="0.35">
      <c r="A1763" s="2"/>
      <c r="B1763" s="156"/>
      <c r="C1763" s="32"/>
      <c r="M1763" s="25"/>
    </row>
    <row r="1764" spans="1:13" ht="15.5" x14ac:dyDescent="0.35">
      <c r="A1764" s="2"/>
      <c r="B1764" s="156"/>
      <c r="C1764" s="32"/>
      <c r="M1764" s="25"/>
    </row>
    <row r="1765" spans="1:13" ht="15.5" x14ac:dyDescent="0.35">
      <c r="A1765" s="2"/>
      <c r="B1765" s="156"/>
      <c r="C1765" s="32"/>
      <c r="M1765" s="25"/>
    </row>
    <row r="1766" spans="1:13" ht="15.5" x14ac:dyDescent="0.35">
      <c r="A1766" s="2"/>
      <c r="B1766" s="156"/>
      <c r="C1766" s="32"/>
      <c r="M1766" s="25"/>
    </row>
    <row r="1767" spans="1:13" ht="15.5" x14ac:dyDescent="0.35">
      <c r="A1767" s="2"/>
      <c r="B1767" s="156"/>
      <c r="C1767" s="32"/>
      <c r="M1767" s="25"/>
    </row>
    <row r="1768" spans="1:13" ht="15.5" x14ac:dyDescent="0.35">
      <c r="A1768" s="2"/>
      <c r="B1768" s="156"/>
      <c r="C1768" s="32"/>
      <c r="M1768" s="25"/>
    </row>
    <row r="1769" spans="1:13" ht="15.5" x14ac:dyDescent="0.35">
      <c r="A1769" s="2"/>
      <c r="B1769" s="156"/>
      <c r="C1769" s="32"/>
      <c r="M1769" s="25"/>
    </row>
    <row r="1770" spans="1:13" ht="15.5" x14ac:dyDescent="0.35">
      <c r="A1770" s="2"/>
      <c r="B1770" s="156"/>
      <c r="C1770" s="32"/>
      <c r="M1770" s="25"/>
    </row>
    <row r="1771" spans="1:13" ht="15.5" x14ac:dyDescent="0.35">
      <c r="A1771" s="2"/>
      <c r="B1771" s="156"/>
      <c r="C1771" s="32"/>
      <c r="M1771" s="25"/>
    </row>
    <row r="1772" spans="1:13" ht="15.5" x14ac:dyDescent="0.35">
      <c r="A1772" s="2"/>
      <c r="B1772" s="156"/>
      <c r="C1772" s="32"/>
      <c r="M1772" s="25"/>
    </row>
    <row r="1773" spans="1:13" ht="15.5" x14ac:dyDescent="0.35">
      <c r="A1773" s="2"/>
      <c r="B1773" s="156"/>
      <c r="C1773" s="32"/>
      <c r="M1773" s="25"/>
    </row>
    <row r="1774" spans="1:13" ht="15.5" x14ac:dyDescent="0.35">
      <c r="A1774" s="2"/>
      <c r="B1774" s="156"/>
      <c r="C1774" s="32"/>
      <c r="M1774" s="25"/>
    </row>
    <row r="1775" spans="1:13" ht="15.5" x14ac:dyDescent="0.35">
      <c r="A1775" s="2"/>
      <c r="B1775" s="156"/>
      <c r="C1775" s="32"/>
      <c r="M1775" s="25"/>
    </row>
    <row r="1776" spans="1:13" ht="15.5" x14ac:dyDescent="0.35">
      <c r="A1776" s="2"/>
      <c r="B1776" s="156"/>
      <c r="C1776" s="32"/>
      <c r="M1776" s="25"/>
    </row>
    <row r="1777" spans="1:13" ht="15.5" x14ac:dyDescent="0.35">
      <c r="A1777" s="2"/>
      <c r="B1777" s="156"/>
      <c r="C1777" s="32"/>
      <c r="M1777" s="25"/>
    </row>
    <row r="1778" spans="1:13" ht="15.5" x14ac:dyDescent="0.35">
      <c r="A1778" s="2"/>
      <c r="B1778" s="156"/>
      <c r="C1778" s="32"/>
      <c r="M1778" s="25"/>
    </row>
    <row r="1779" spans="1:13" ht="15.5" x14ac:dyDescent="0.35">
      <c r="A1779" s="2"/>
      <c r="B1779" s="156"/>
      <c r="C1779" s="32"/>
      <c r="M1779" s="25"/>
    </row>
    <row r="1780" spans="1:13" ht="15.5" x14ac:dyDescent="0.35">
      <c r="A1780" s="2"/>
      <c r="B1780" s="156"/>
      <c r="C1780" s="32"/>
      <c r="M1780" s="25"/>
    </row>
    <row r="1781" spans="1:13" ht="15.5" x14ac:dyDescent="0.35">
      <c r="A1781" s="2"/>
      <c r="B1781" s="156"/>
      <c r="C1781" s="32"/>
      <c r="M1781" s="25"/>
    </row>
    <row r="1782" spans="1:13" ht="15.5" x14ac:dyDescent="0.35">
      <c r="A1782" s="2"/>
      <c r="B1782" s="156"/>
      <c r="C1782" s="32"/>
      <c r="M1782" s="25"/>
    </row>
    <row r="1783" spans="1:13" ht="15.5" x14ac:dyDescent="0.35">
      <c r="A1783" s="2"/>
      <c r="B1783" s="156"/>
      <c r="C1783" s="32"/>
      <c r="M1783" s="25"/>
    </row>
    <row r="1784" spans="1:13" ht="15.5" x14ac:dyDescent="0.35">
      <c r="A1784" s="2"/>
      <c r="B1784" s="156"/>
      <c r="C1784" s="32"/>
      <c r="M1784" s="25"/>
    </row>
    <row r="1785" spans="1:13" ht="15.5" x14ac:dyDescent="0.35">
      <c r="A1785" s="2"/>
      <c r="B1785" s="156"/>
      <c r="C1785" s="32"/>
      <c r="M1785" s="25"/>
    </row>
    <row r="1786" spans="1:13" ht="15.5" x14ac:dyDescent="0.35">
      <c r="A1786" s="2"/>
      <c r="B1786" s="156"/>
      <c r="C1786" s="32"/>
      <c r="M1786" s="25"/>
    </row>
    <row r="1787" spans="1:13" ht="15.5" x14ac:dyDescent="0.35">
      <c r="A1787" s="2"/>
      <c r="B1787" s="156"/>
      <c r="C1787" s="32"/>
      <c r="M1787" s="25"/>
    </row>
    <row r="1788" spans="1:13" ht="15.5" x14ac:dyDescent="0.35">
      <c r="A1788" s="2"/>
      <c r="B1788" s="156"/>
      <c r="C1788" s="32"/>
      <c r="M1788" s="25"/>
    </row>
    <row r="1789" spans="1:13" ht="15.5" x14ac:dyDescent="0.35">
      <c r="A1789" s="2"/>
      <c r="B1789" s="156"/>
      <c r="C1789" s="32"/>
      <c r="M1789" s="25"/>
    </row>
    <row r="1790" spans="1:13" ht="15.5" x14ac:dyDescent="0.35">
      <c r="A1790" s="2"/>
      <c r="B1790" s="156"/>
      <c r="C1790" s="32"/>
      <c r="M1790" s="25"/>
    </row>
    <row r="1791" spans="1:13" ht="15.5" x14ac:dyDescent="0.35">
      <c r="A1791" s="2"/>
      <c r="B1791" s="156"/>
      <c r="C1791" s="32"/>
      <c r="M1791" s="25"/>
    </row>
    <row r="1792" spans="1:13" ht="15.5" x14ac:dyDescent="0.35">
      <c r="A1792" s="2"/>
      <c r="B1792" s="156"/>
      <c r="C1792" s="32"/>
      <c r="M1792" s="25"/>
    </row>
    <row r="1793" spans="1:13" ht="15.5" x14ac:dyDescent="0.35">
      <c r="A1793" s="2"/>
      <c r="B1793" s="156"/>
      <c r="C1793" s="32"/>
      <c r="M1793" s="25"/>
    </row>
    <row r="1794" spans="1:13" ht="15.5" x14ac:dyDescent="0.35">
      <c r="A1794" s="2"/>
      <c r="B1794" s="156"/>
      <c r="C1794" s="32"/>
      <c r="M1794" s="25"/>
    </row>
    <row r="1795" spans="1:13" ht="15.5" x14ac:dyDescent="0.35">
      <c r="A1795" s="2"/>
      <c r="B1795" s="156"/>
      <c r="C1795" s="32"/>
      <c r="M1795" s="25"/>
    </row>
    <row r="1796" spans="1:13" ht="15.5" x14ac:dyDescent="0.35">
      <c r="A1796" s="2"/>
      <c r="B1796" s="156"/>
      <c r="C1796" s="32"/>
      <c r="M1796" s="25"/>
    </row>
    <row r="1797" spans="1:13" ht="15.5" x14ac:dyDescent="0.35">
      <c r="A1797" s="2"/>
      <c r="B1797" s="156"/>
      <c r="C1797" s="32"/>
      <c r="M1797" s="25"/>
    </row>
    <row r="1798" spans="1:13" ht="15.5" x14ac:dyDescent="0.35">
      <c r="A1798" s="2"/>
      <c r="B1798" s="156"/>
      <c r="C1798" s="32"/>
      <c r="M1798" s="25"/>
    </row>
    <row r="1799" spans="1:13" ht="15.5" x14ac:dyDescent="0.35">
      <c r="A1799" s="2"/>
      <c r="B1799" s="156"/>
      <c r="C1799" s="32"/>
      <c r="M1799" s="25"/>
    </row>
    <row r="1800" spans="1:13" ht="15.5" x14ac:dyDescent="0.35">
      <c r="A1800" s="2"/>
      <c r="B1800" s="156"/>
      <c r="C1800" s="32"/>
      <c r="M1800" s="25"/>
    </row>
    <row r="1801" spans="1:13" ht="15.5" x14ac:dyDescent="0.35">
      <c r="A1801" s="2"/>
      <c r="B1801" s="156"/>
      <c r="C1801" s="32"/>
      <c r="M1801" s="25"/>
    </row>
    <row r="1802" spans="1:13" ht="15.5" x14ac:dyDescent="0.35">
      <c r="A1802" s="2"/>
      <c r="B1802" s="156"/>
      <c r="C1802" s="32"/>
      <c r="M1802" s="25"/>
    </row>
    <row r="1803" spans="1:13" ht="15.5" x14ac:dyDescent="0.35">
      <c r="A1803" s="2"/>
      <c r="B1803" s="156"/>
      <c r="C1803" s="32"/>
      <c r="M1803" s="25"/>
    </row>
    <row r="1804" spans="1:13" ht="15.5" x14ac:dyDescent="0.35">
      <c r="A1804" s="2"/>
      <c r="B1804" s="156"/>
      <c r="C1804" s="32"/>
      <c r="M1804" s="25"/>
    </row>
    <row r="1805" spans="1:13" ht="15.5" x14ac:dyDescent="0.35">
      <c r="A1805" s="2"/>
      <c r="B1805" s="156"/>
      <c r="C1805" s="32"/>
      <c r="M1805" s="25"/>
    </row>
    <row r="1806" spans="1:13" ht="15.5" x14ac:dyDescent="0.35">
      <c r="A1806" s="2"/>
      <c r="B1806" s="156"/>
      <c r="C1806" s="32"/>
      <c r="M1806" s="25"/>
    </row>
    <row r="1807" spans="1:13" ht="15.5" x14ac:dyDescent="0.35">
      <c r="A1807" s="2"/>
      <c r="B1807" s="156"/>
      <c r="C1807" s="32"/>
      <c r="M1807" s="25"/>
    </row>
    <row r="1808" spans="1:13" ht="15.5" x14ac:dyDescent="0.35">
      <c r="A1808" s="2"/>
      <c r="B1808" s="156"/>
      <c r="C1808" s="32"/>
      <c r="M1808" s="25"/>
    </row>
    <row r="1809" spans="1:13" ht="15.5" x14ac:dyDescent="0.35">
      <c r="A1809" s="2"/>
      <c r="B1809" s="156"/>
      <c r="C1809" s="32"/>
      <c r="M1809" s="25"/>
    </row>
    <row r="1810" spans="1:13" ht="15.5" x14ac:dyDescent="0.35">
      <c r="A1810" s="2"/>
      <c r="B1810" s="156"/>
      <c r="C1810" s="32"/>
      <c r="M1810" s="25"/>
    </row>
    <row r="1811" spans="1:13" ht="15.5" x14ac:dyDescent="0.35">
      <c r="A1811" s="2"/>
      <c r="B1811" s="156"/>
      <c r="C1811" s="32"/>
      <c r="M1811" s="25"/>
    </row>
    <row r="1812" spans="1:13" ht="15.5" x14ac:dyDescent="0.35">
      <c r="A1812" s="2"/>
      <c r="B1812" s="156"/>
      <c r="C1812" s="32"/>
      <c r="M1812" s="25"/>
    </row>
    <row r="1813" spans="1:13" ht="15.5" x14ac:dyDescent="0.35">
      <c r="A1813" s="2"/>
      <c r="B1813" s="156"/>
      <c r="C1813" s="32"/>
      <c r="M1813" s="25"/>
    </row>
    <row r="1814" spans="1:13" ht="15.5" x14ac:dyDescent="0.35">
      <c r="A1814" s="2"/>
      <c r="B1814" s="156"/>
      <c r="C1814" s="32"/>
      <c r="M1814" s="25"/>
    </row>
    <row r="1815" spans="1:13" ht="15.5" x14ac:dyDescent="0.35">
      <c r="A1815" s="2"/>
      <c r="B1815" s="156"/>
      <c r="C1815" s="32"/>
      <c r="M1815" s="25"/>
    </row>
    <row r="1816" spans="1:13" ht="15.5" x14ac:dyDescent="0.35">
      <c r="A1816" s="2"/>
      <c r="B1816" s="156"/>
      <c r="C1816" s="32"/>
      <c r="M1816" s="25"/>
    </row>
    <row r="1817" spans="1:13" ht="15.5" x14ac:dyDescent="0.35">
      <c r="A1817" s="2"/>
      <c r="B1817" s="156"/>
      <c r="C1817" s="32"/>
      <c r="M1817" s="25"/>
    </row>
    <row r="1818" spans="1:13" ht="15.5" x14ac:dyDescent="0.35">
      <c r="A1818" s="2"/>
      <c r="B1818" s="156"/>
      <c r="C1818" s="32"/>
      <c r="M1818" s="25"/>
    </row>
    <row r="1819" spans="1:13" ht="15.5" x14ac:dyDescent="0.35">
      <c r="A1819" s="2"/>
      <c r="B1819" s="156"/>
      <c r="C1819" s="32"/>
      <c r="M1819" s="25"/>
    </row>
    <row r="1820" spans="1:13" ht="15.5" x14ac:dyDescent="0.35">
      <c r="A1820" s="2"/>
      <c r="B1820" s="156"/>
      <c r="C1820" s="32"/>
      <c r="M1820" s="25"/>
    </row>
    <row r="1821" spans="1:13" ht="15.5" x14ac:dyDescent="0.35">
      <c r="A1821" s="2"/>
      <c r="B1821" s="156"/>
      <c r="C1821" s="32"/>
      <c r="M1821" s="25"/>
    </row>
    <row r="1822" spans="1:13" ht="15.5" x14ac:dyDescent="0.35">
      <c r="A1822" s="2"/>
      <c r="B1822" s="156"/>
      <c r="C1822" s="32"/>
      <c r="M1822" s="25"/>
    </row>
    <row r="1823" spans="1:13" ht="15.5" x14ac:dyDescent="0.35">
      <c r="A1823" s="2"/>
      <c r="B1823" s="156"/>
      <c r="C1823" s="32"/>
      <c r="M1823" s="25"/>
    </row>
    <row r="1824" spans="1:13" ht="15.5" x14ac:dyDescent="0.35">
      <c r="A1824" s="2"/>
      <c r="B1824" s="156"/>
      <c r="C1824" s="32"/>
      <c r="M1824" s="25"/>
    </row>
    <row r="1825" spans="1:13" ht="15.5" x14ac:dyDescent="0.35">
      <c r="A1825" s="2"/>
      <c r="B1825" s="156"/>
      <c r="C1825" s="32"/>
      <c r="M1825" s="25"/>
    </row>
    <row r="1826" spans="1:13" ht="15.5" x14ac:dyDescent="0.35">
      <c r="A1826" s="2"/>
      <c r="B1826" s="156"/>
      <c r="C1826" s="32"/>
      <c r="M1826" s="25"/>
    </row>
    <row r="1827" spans="1:13" ht="15.5" x14ac:dyDescent="0.35">
      <c r="A1827" s="2"/>
      <c r="B1827" s="156"/>
      <c r="C1827" s="32"/>
      <c r="M1827" s="25"/>
    </row>
    <row r="1828" spans="1:13" ht="15.5" x14ac:dyDescent="0.35">
      <c r="A1828" s="2"/>
      <c r="B1828" s="156"/>
      <c r="C1828" s="32"/>
      <c r="M1828" s="25"/>
    </row>
    <row r="1829" spans="1:13" ht="15.5" x14ac:dyDescent="0.35">
      <c r="A1829" s="2"/>
      <c r="B1829" s="156"/>
      <c r="C1829" s="32"/>
      <c r="M1829" s="25"/>
    </row>
    <row r="1830" spans="1:13" ht="15.5" x14ac:dyDescent="0.35">
      <c r="A1830" s="2"/>
      <c r="B1830" s="156"/>
      <c r="C1830" s="32"/>
      <c r="M1830" s="25"/>
    </row>
    <row r="1831" spans="1:13" ht="15.5" x14ac:dyDescent="0.35">
      <c r="A1831" s="2"/>
      <c r="B1831" s="156"/>
      <c r="C1831" s="32"/>
      <c r="M1831" s="25"/>
    </row>
    <row r="1832" spans="1:13" ht="15.5" x14ac:dyDescent="0.35">
      <c r="A1832" s="2"/>
      <c r="B1832" s="156"/>
      <c r="C1832" s="32"/>
      <c r="M1832" s="25"/>
    </row>
    <row r="1833" spans="1:13" ht="15.5" x14ac:dyDescent="0.35">
      <c r="A1833" s="2"/>
      <c r="B1833" s="156"/>
      <c r="C1833" s="32"/>
      <c r="M1833" s="25"/>
    </row>
    <row r="1834" spans="1:13" ht="15.5" x14ac:dyDescent="0.35">
      <c r="A1834" s="2"/>
      <c r="B1834" s="156"/>
      <c r="C1834" s="32"/>
      <c r="M1834" s="25"/>
    </row>
    <row r="1835" spans="1:13" ht="15.5" x14ac:dyDescent="0.35">
      <c r="A1835" s="2"/>
      <c r="B1835" s="156"/>
      <c r="C1835" s="32"/>
      <c r="M1835" s="25"/>
    </row>
    <row r="1836" spans="1:13" ht="15.5" x14ac:dyDescent="0.35">
      <c r="A1836" s="2"/>
      <c r="B1836" s="156"/>
      <c r="C1836" s="32"/>
      <c r="M1836" s="25"/>
    </row>
    <row r="1837" spans="1:13" ht="15.5" x14ac:dyDescent="0.35">
      <c r="A1837" s="2"/>
      <c r="B1837" s="156"/>
      <c r="C1837" s="32"/>
      <c r="M1837" s="25"/>
    </row>
    <row r="1838" spans="1:13" ht="15.5" x14ac:dyDescent="0.35">
      <c r="A1838" s="2"/>
      <c r="B1838" s="156"/>
      <c r="C1838" s="32"/>
      <c r="M1838" s="25"/>
    </row>
    <row r="1839" spans="1:13" ht="15.5" x14ac:dyDescent="0.35">
      <c r="A1839" s="2"/>
      <c r="B1839" s="156"/>
      <c r="C1839" s="32"/>
      <c r="M1839" s="25"/>
    </row>
    <row r="1840" spans="1:13" ht="15.5" x14ac:dyDescent="0.35">
      <c r="A1840" s="2"/>
      <c r="B1840" s="156"/>
      <c r="C1840" s="32"/>
      <c r="M1840" s="25"/>
    </row>
    <row r="1841" spans="1:13" ht="15.5" x14ac:dyDescent="0.35">
      <c r="A1841" s="2"/>
      <c r="B1841" s="156"/>
      <c r="C1841" s="32"/>
      <c r="M1841" s="25"/>
    </row>
    <row r="1842" spans="1:13" ht="15.5" x14ac:dyDescent="0.35">
      <c r="A1842" s="2"/>
      <c r="B1842" s="156"/>
      <c r="C1842" s="32"/>
      <c r="M1842" s="25"/>
    </row>
    <row r="1843" spans="1:13" ht="15.5" x14ac:dyDescent="0.35">
      <c r="A1843" s="2"/>
      <c r="B1843" s="156"/>
      <c r="C1843" s="32"/>
      <c r="M1843" s="25"/>
    </row>
    <row r="1844" spans="1:13" ht="15.5" x14ac:dyDescent="0.35">
      <c r="A1844" s="2"/>
      <c r="B1844" s="156"/>
      <c r="C1844" s="32"/>
      <c r="M1844" s="25"/>
    </row>
    <row r="1845" spans="1:13" ht="15.5" x14ac:dyDescent="0.35">
      <c r="A1845" s="2"/>
      <c r="B1845" s="156"/>
      <c r="C1845" s="32"/>
      <c r="M1845" s="25"/>
    </row>
    <row r="1846" spans="1:13" ht="15.5" x14ac:dyDescent="0.35">
      <c r="A1846" s="2"/>
      <c r="B1846" s="156"/>
      <c r="C1846" s="32"/>
      <c r="M1846" s="25"/>
    </row>
    <row r="1847" spans="1:13" ht="15.5" x14ac:dyDescent="0.35">
      <c r="A1847" s="2"/>
      <c r="B1847" s="156"/>
      <c r="C1847" s="32"/>
      <c r="M1847" s="25"/>
    </row>
    <row r="1848" spans="1:13" ht="15.5" x14ac:dyDescent="0.35">
      <c r="A1848" s="2"/>
      <c r="B1848" s="156"/>
      <c r="C1848" s="32"/>
      <c r="M1848" s="25"/>
    </row>
    <row r="1849" spans="1:13" ht="15.5" x14ac:dyDescent="0.35">
      <c r="A1849" s="2"/>
      <c r="B1849" s="156"/>
      <c r="C1849" s="32"/>
      <c r="M1849" s="25"/>
    </row>
    <row r="1850" spans="1:13" ht="15.5" x14ac:dyDescent="0.35">
      <c r="A1850" s="2"/>
      <c r="B1850" s="156"/>
      <c r="C1850" s="32"/>
      <c r="M1850" s="25"/>
    </row>
    <row r="1851" spans="1:13" ht="15.5" x14ac:dyDescent="0.35">
      <c r="A1851" s="2"/>
      <c r="B1851" s="156"/>
      <c r="C1851" s="32"/>
      <c r="M1851" s="25"/>
    </row>
    <row r="1852" spans="1:13" ht="15.5" x14ac:dyDescent="0.35">
      <c r="A1852" s="2"/>
      <c r="B1852" s="156"/>
      <c r="C1852" s="32"/>
      <c r="M1852" s="25"/>
    </row>
    <row r="1853" spans="1:13" ht="15.5" x14ac:dyDescent="0.35">
      <c r="A1853" s="2"/>
      <c r="B1853" s="156"/>
      <c r="C1853" s="32"/>
      <c r="M1853" s="25"/>
    </row>
    <row r="1854" spans="1:13" ht="15.5" x14ac:dyDescent="0.35">
      <c r="A1854" s="2"/>
      <c r="B1854" s="156"/>
      <c r="C1854" s="32"/>
      <c r="M1854" s="25"/>
    </row>
    <row r="1855" spans="1:13" ht="15.5" x14ac:dyDescent="0.35">
      <c r="A1855" s="2"/>
      <c r="B1855" s="156"/>
      <c r="C1855" s="32"/>
      <c r="M1855" s="25"/>
    </row>
    <row r="1856" spans="1:13" ht="15.5" x14ac:dyDescent="0.35">
      <c r="A1856" s="2"/>
      <c r="B1856" s="156"/>
      <c r="C1856" s="32"/>
      <c r="M1856" s="25"/>
    </row>
    <row r="1857" spans="1:13" ht="15.5" x14ac:dyDescent="0.35">
      <c r="A1857" s="2"/>
      <c r="B1857" s="156"/>
      <c r="C1857" s="32"/>
      <c r="M1857" s="25"/>
    </row>
    <row r="1858" spans="1:13" ht="15.5" x14ac:dyDescent="0.35">
      <c r="A1858" s="2"/>
      <c r="B1858" s="156"/>
      <c r="C1858" s="32"/>
      <c r="M1858" s="25"/>
    </row>
    <row r="1859" spans="1:13" ht="15.5" x14ac:dyDescent="0.35">
      <c r="A1859" s="2"/>
      <c r="B1859" s="156"/>
      <c r="C1859" s="32"/>
      <c r="M1859" s="25"/>
    </row>
    <row r="1860" spans="1:13" ht="15.5" x14ac:dyDescent="0.35">
      <c r="A1860" s="2"/>
      <c r="B1860" s="156"/>
      <c r="C1860" s="32"/>
      <c r="M1860" s="25"/>
    </row>
    <row r="1861" spans="1:13" ht="15.5" x14ac:dyDescent="0.35">
      <c r="A1861" s="2"/>
      <c r="B1861" s="156"/>
      <c r="C1861" s="32"/>
      <c r="M1861" s="25"/>
    </row>
    <row r="1862" spans="1:13" ht="15.5" x14ac:dyDescent="0.35">
      <c r="A1862" s="2"/>
      <c r="B1862" s="156"/>
      <c r="C1862" s="32"/>
      <c r="M1862" s="25"/>
    </row>
    <row r="1863" spans="1:13" ht="15.5" x14ac:dyDescent="0.35">
      <c r="A1863" s="2"/>
      <c r="B1863" s="156"/>
      <c r="C1863" s="32"/>
      <c r="M1863" s="25"/>
    </row>
    <row r="1864" spans="1:13" ht="15.5" x14ac:dyDescent="0.35">
      <c r="A1864" s="2"/>
      <c r="B1864" s="156"/>
      <c r="C1864" s="32"/>
      <c r="M1864" s="25"/>
    </row>
    <row r="1865" spans="1:13" ht="15.5" x14ac:dyDescent="0.35">
      <c r="A1865" s="2"/>
      <c r="B1865" s="156"/>
      <c r="C1865" s="32"/>
      <c r="M1865" s="25"/>
    </row>
    <row r="1866" spans="1:13" ht="15.5" x14ac:dyDescent="0.35">
      <c r="A1866" s="2"/>
      <c r="B1866" s="156"/>
      <c r="C1866" s="32"/>
      <c r="M1866" s="25"/>
    </row>
    <row r="1867" spans="1:13" ht="15.5" x14ac:dyDescent="0.35">
      <c r="A1867" s="2"/>
      <c r="B1867" s="156"/>
      <c r="C1867" s="32"/>
      <c r="M1867" s="25"/>
    </row>
    <row r="1868" spans="1:13" ht="15.5" x14ac:dyDescent="0.35">
      <c r="A1868" s="2"/>
      <c r="B1868" s="156"/>
      <c r="C1868" s="32"/>
      <c r="M1868" s="25"/>
    </row>
    <row r="1869" spans="1:13" ht="15.5" x14ac:dyDescent="0.35">
      <c r="A1869" s="2"/>
      <c r="B1869" s="156"/>
      <c r="C1869" s="32"/>
      <c r="M1869" s="25"/>
    </row>
    <row r="1870" spans="1:13" ht="15.5" x14ac:dyDescent="0.35">
      <c r="A1870" s="2"/>
      <c r="B1870" s="156"/>
      <c r="C1870" s="32"/>
      <c r="M1870" s="25"/>
    </row>
    <row r="1871" spans="1:13" ht="15.5" x14ac:dyDescent="0.35">
      <c r="A1871" s="2"/>
      <c r="B1871" s="156"/>
      <c r="C1871" s="32"/>
      <c r="M1871" s="25"/>
    </row>
    <row r="1872" spans="1:13" ht="15.5" x14ac:dyDescent="0.35">
      <c r="A1872" s="2"/>
      <c r="B1872" s="156"/>
      <c r="C1872" s="32"/>
      <c r="M1872" s="25"/>
    </row>
    <row r="1873" spans="1:13" ht="15.5" x14ac:dyDescent="0.35">
      <c r="A1873" s="2"/>
      <c r="B1873" s="156"/>
      <c r="C1873" s="32"/>
      <c r="M1873" s="25"/>
    </row>
    <row r="1874" spans="1:13" ht="15.5" x14ac:dyDescent="0.35">
      <c r="A1874" s="2"/>
      <c r="B1874" s="156"/>
      <c r="C1874" s="32"/>
      <c r="M1874" s="25"/>
    </row>
    <row r="1875" spans="1:13" ht="15.5" x14ac:dyDescent="0.35">
      <c r="A1875" s="2"/>
      <c r="B1875" s="156"/>
      <c r="C1875" s="32"/>
      <c r="M1875" s="25"/>
    </row>
    <row r="1876" spans="1:13" ht="15.5" x14ac:dyDescent="0.35">
      <c r="A1876" s="2"/>
      <c r="B1876" s="156"/>
      <c r="C1876" s="32"/>
      <c r="M1876" s="25"/>
    </row>
    <row r="1877" spans="1:13" ht="15.5" x14ac:dyDescent="0.35">
      <c r="A1877" s="2"/>
      <c r="B1877" s="156"/>
      <c r="C1877" s="32"/>
      <c r="M1877" s="25"/>
    </row>
    <row r="1878" spans="1:13" ht="15.5" x14ac:dyDescent="0.35">
      <c r="A1878" s="2"/>
      <c r="B1878" s="156"/>
      <c r="C1878" s="32"/>
      <c r="M1878" s="25"/>
    </row>
    <row r="1879" spans="1:13" ht="15.5" x14ac:dyDescent="0.35">
      <c r="A1879" s="2"/>
      <c r="B1879" s="156"/>
      <c r="C1879" s="32"/>
      <c r="M1879" s="25"/>
    </row>
    <row r="1880" spans="1:13" ht="15.5" x14ac:dyDescent="0.35">
      <c r="A1880" s="2"/>
      <c r="B1880" s="156"/>
      <c r="C1880" s="32"/>
      <c r="M1880" s="25"/>
    </row>
    <row r="1881" spans="1:13" ht="15.5" x14ac:dyDescent="0.35">
      <c r="A1881" s="2"/>
      <c r="B1881" s="156"/>
      <c r="C1881" s="32"/>
      <c r="M1881" s="25"/>
    </row>
    <row r="1882" spans="1:13" ht="15.5" x14ac:dyDescent="0.35">
      <c r="A1882" s="2"/>
      <c r="B1882" s="156"/>
      <c r="C1882" s="32"/>
      <c r="M1882" s="25"/>
    </row>
    <row r="1883" spans="1:13" ht="15.5" x14ac:dyDescent="0.35">
      <c r="A1883" s="2"/>
      <c r="B1883" s="156"/>
      <c r="C1883" s="32"/>
      <c r="M1883" s="25"/>
    </row>
    <row r="1884" spans="1:13" ht="15.5" x14ac:dyDescent="0.35">
      <c r="A1884" s="2"/>
      <c r="B1884" s="156"/>
      <c r="C1884" s="32"/>
      <c r="M1884" s="25"/>
    </row>
    <row r="1885" spans="1:13" ht="15.5" x14ac:dyDescent="0.35">
      <c r="A1885" s="2"/>
      <c r="B1885" s="156"/>
      <c r="C1885" s="32"/>
      <c r="M1885" s="25"/>
    </row>
    <row r="1886" spans="1:13" ht="15.5" x14ac:dyDescent="0.35">
      <c r="A1886" s="2"/>
      <c r="B1886" s="156"/>
      <c r="C1886" s="32"/>
      <c r="M1886" s="25"/>
    </row>
    <row r="1887" spans="1:13" ht="15.5" x14ac:dyDescent="0.35">
      <c r="A1887" s="2"/>
      <c r="B1887" s="156"/>
      <c r="C1887" s="32"/>
      <c r="M1887" s="25"/>
    </row>
    <row r="1888" spans="1:13" ht="15.5" x14ac:dyDescent="0.35">
      <c r="A1888" s="2"/>
      <c r="B1888" s="156"/>
      <c r="C1888" s="32"/>
      <c r="M1888" s="25"/>
    </row>
    <row r="1889" spans="1:13" ht="15.5" x14ac:dyDescent="0.35">
      <c r="A1889" s="2"/>
      <c r="B1889" s="156"/>
      <c r="C1889" s="32"/>
      <c r="M1889" s="25"/>
    </row>
    <row r="1890" spans="1:13" ht="15.5" x14ac:dyDescent="0.35">
      <c r="A1890" s="2"/>
      <c r="B1890" s="156"/>
      <c r="C1890" s="32"/>
      <c r="M1890" s="25"/>
    </row>
    <row r="1891" spans="1:13" ht="15.5" x14ac:dyDescent="0.35">
      <c r="A1891" s="2"/>
      <c r="B1891" s="156"/>
      <c r="C1891" s="32"/>
      <c r="M1891" s="25"/>
    </row>
    <row r="1892" spans="1:13" ht="15.5" x14ac:dyDescent="0.35">
      <c r="A1892" s="2"/>
      <c r="B1892" s="156"/>
      <c r="C1892" s="32"/>
      <c r="M1892" s="25"/>
    </row>
    <row r="1893" spans="1:13" ht="15.5" x14ac:dyDescent="0.35">
      <c r="A1893" s="2"/>
      <c r="B1893" s="156"/>
      <c r="C1893" s="32"/>
      <c r="M1893" s="25"/>
    </row>
    <row r="1894" spans="1:13" ht="15.5" x14ac:dyDescent="0.35">
      <c r="A1894" s="2"/>
      <c r="B1894" s="156"/>
      <c r="C1894" s="32"/>
      <c r="M1894" s="25"/>
    </row>
    <row r="1895" spans="1:13" ht="15.5" x14ac:dyDescent="0.35">
      <c r="A1895" s="2"/>
      <c r="B1895" s="156"/>
      <c r="C1895" s="32"/>
      <c r="M1895" s="25"/>
    </row>
    <row r="1896" spans="1:13" ht="15.5" x14ac:dyDescent="0.35">
      <c r="A1896" s="2"/>
      <c r="B1896" s="156"/>
      <c r="C1896" s="32"/>
      <c r="M1896" s="25"/>
    </row>
    <row r="1897" spans="1:13" ht="15.5" x14ac:dyDescent="0.35">
      <c r="A1897" s="2"/>
      <c r="B1897" s="156"/>
      <c r="C1897" s="32"/>
      <c r="M1897" s="25"/>
    </row>
    <row r="1898" spans="1:13" ht="15.5" x14ac:dyDescent="0.35">
      <c r="A1898" s="2"/>
      <c r="B1898" s="156"/>
      <c r="C1898" s="32"/>
      <c r="M1898" s="25"/>
    </row>
    <row r="1899" spans="1:13" ht="15.5" x14ac:dyDescent="0.35">
      <c r="A1899" s="2"/>
      <c r="B1899" s="156"/>
      <c r="C1899" s="32"/>
      <c r="M1899" s="25"/>
    </row>
    <row r="1900" spans="1:13" ht="15.5" x14ac:dyDescent="0.35">
      <c r="A1900" s="2"/>
      <c r="B1900" s="156"/>
      <c r="C1900" s="32"/>
      <c r="M1900" s="25"/>
    </row>
    <row r="1901" spans="1:13" ht="15.5" x14ac:dyDescent="0.35">
      <c r="A1901" s="2"/>
      <c r="B1901" s="156"/>
      <c r="C1901" s="32"/>
      <c r="M1901" s="25"/>
    </row>
    <row r="1902" spans="1:13" ht="15.5" x14ac:dyDescent="0.35">
      <c r="A1902" s="2"/>
      <c r="B1902" s="156"/>
      <c r="C1902" s="32"/>
      <c r="M1902" s="25"/>
    </row>
    <row r="1903" spans="1:13" ht="15.5" x14ac:dyDescent="0.35">
      <c r="A1903" s="2"/>
      <c r="B1903" s="156"/>
      <c r="C1903" s="32"/>
      <c r="M1903" s="25"/>
    </row>
    <row r="1904" spans="1:13" ht="15.5" x14ac:dyDescent="0.35">
      <c r="A1904" s="2"/>
      <c r="B1904" s="156"/>
      <c r="C1904" s="32"/>
      <c r="M1904" s="25"/>
    </row>
    <row r="1905" spans="1:13" ht="15.5" x14ac:dyDescent="0.35">
      <c r="A1905" s="2"/>
      <c r="B1905" s="156"/>
      <c r="C1905" s="32"/>
      <c r="M1905" s="25"/>
    </row>
    <row r="1906" spans="1:13" ht="15.5" x14ac:dyDescent="0.35">
      <c r="A1906" s="2"/>
      <c r="B1906" s="156"/>
      <c r="C1906" s="32"/>
      <c r="M1906" s="25"/>
    </row>
    <row r="1907" spans="1:13" ht="15.5" x14ac:dyDescent="0.35">
      <c r="A1907" s="2"/>
      <c r="B1907" s="156"/>
      <c r="C1907" s="32"/>
      <c r="M1907" s="25"/>
    </row>
    <row r="1908" spans="1:13" ht="15.5" x14ac:dyDescent="0.35">
      <c r="A1908" s="2"/>
      <c r="B1908" s="156"/>
      <c r="C1908" s="32"/>
      <c r="M1908" s="25"/>
    </row>
    <row r="1909" spans="1:13" ht="15.5" x14ac:dyDescent="0.35">
      <c r="A1909" s="2"/>
      <c r="B1909" s="156"/>
      <c r="C1909" s="32"/>
      <c r="M1909" s="25"/>
    </row>
    <row r="1910" spans="1:13" ht="15.5" x14ac:dyDescent="0.35">
      <c r="A1910" s="2"/>
      <c r="B1910" s="156"/>
      <c r="C1910" s="32"/>
      <c r="M1910" s="25"/>
    </row>
    <row r="1911" spans="1:13" ht="15.5" x14ac:dyDescent="0.35">
      <c r="A1911" s="2"/>
      <c r="B1911" s="156"/>
      <c r="C1911" s="32"/>
      <c r="M1911" s="25"/>
    </row>
    <row r="1912" spans="1:13" ht="15.5" x14ac:dyDescent="0.35">
      <c r="A1912" s="2"/>
      <c r="B1912" s="156"/>
      <c r="C1912" s="32"/>
      <c r="M1912" s="25"/>
    </row>
    <row r="1913" spans="1:13" ht="15.5" x14ac:dyDescent="0.35">
      <c r="A1913" s="2"/>
      <c r="B1913" s="156"/>
      <c r="C1913" s="32"/>
      <c r="M1913" s="25"/>
    </row>
    <row r="1914" spans="1:13" ht="15.5" x14ac:dyDescent="0.35">
      <c r="A1914" s="2"/>
      <c r="B1914" s="156"/>
      <c r="C1914" s="32"/>
      <c r="M1914" s="25"/>
    </row>
    <row r="1915" spans="1:13" ht="15.5" x14ac:dyDescent="0.35">
      <c r="A1915" s="2"/>
      <c r="B1915" s="156"/>
      <c r="C1915" s="32"/>
      <c r="M1915" s="25"/>
    </row>
    <row r="1916" spans="1:13" ht="15.5" x14ac:dyDescent="0.35">
      <c r="A1916" s="2"/>
      <c r="B1916" s="156"/>
      <c r="C1916" s="32"/>
      <c r="M1916" s="25"/>
    </row>
    <row r="1917" spans="1:13" ht="15.5" x14ac:dyDescent="0.35">
      <c r="A1917" s="2"/>
      <c r="B1917" s="156"/>
      <c r="C1917" s="32"/>
      <c r="M1917" s="25"/>
    </row>
    <row r="1918" spans="1:13" ht="15.5" x14ac:dyDescent="0.35">
      <c r="A1918" s="2"/>
      <c r="B1918" s="156"/>
      <c r="C1918" s="32"/>
      <c r="M1918" s="25"/>
    </row>
    <row r="1919" spans="1:13" ht="15.5" x14ac:dyDescent="0.35">
      <c r="A1919" s="2"/>
      <c r="B1919" s="156"/>
      <c r="C1919" s="32"/>
      <c r="M1919" s="25"/>
    </row>
    <row r="1920" spans="1:13" ht="15.5" x14ac:dyDescent="0.35">
      <c r="A1920" s="2"/>
      <c r="B1920" s="156"/>
      <c r="C1920" s="32"/>
      <c r="M1920" s="25"/>
    </row>
    <row r="1921" spans="1:13" ht="15.5" x14ac:dyDescent="0.35">
      <c r="A1921" s="2"/>
      <c r="B1921" s="156"/>
      <c r="C1921" s="32"/>
      <c r="M1921" s="25"/>
    </row>
    <row r="1922" spans="1:13" ht="15.5" x14ac:dyDescent="0.35">
      <c r="A1922" s="2"/>
      <c r="B1922" s="156"/>
      <c r="C1922" s="32"/>
      <c r="M1922" s="25"/>
    </row>
    <row r="1923" spans="1:13" ht="15.5" x14ac:dyDescent="0.35">
      <c r="A1923" s="2"/>
      <c r="B1923" s="156"/>
      <c r="C1923" s="32"/>
      <c r="M1923" s="25"/>
    </row>
    <row r="1924" spans="1:13" ht="15.5" x14ac:dyDescent="0.35">
      <c r="A1924" s="2"/>
      <c r="B1924" s="156"/>
      <c r="C1924" s="32"/>
      <c r="M1924" s="25"/>
    </row>
    <row r="1925" spans="1:13" ht="15.5" x14ac:dyDescent="0.35">
      <c r="A1925" s="2"/>
      <c r="B1925" s="156"/>
      <c r="C1925" s="32"/>
      <c r="M1925" s="25"/>
    </row>
    <row r="1926" spans="1:13" ht="15.5" x14ac:dyDescent="0.35">
      <c r="A1926" s="2"/>
      <c r="B1926" s="156"/>
      <c r="C1926" s="32"/>
      <c r="M1926" s="25"/>
    </row>
    <row r="1927" spans="1:13" ht="15.5" x14ac:dyDescent="0.35">
      <c r="A1927" s="2"/>
      <c r="B1927" s="156"/>
      <c r="C1927" s="32"/>
      <c r="M1927" s="25"/>
    </row>
    <row r="1928" spans="1:13" ht="15.5" x14ac:dyDescent="0.35">
      <c r="A1928" s="2"/>
      <c r="B1928" s="156"/>
      <c r="C1928" s="32"/>
      <c r="M1928" s="25"/>
    </row>
    <row r="1929" spans="1:13" ht="15.5" x14ac:dyDescent="0.35">
      <c r="A1929" s="2"/>
      <c r="B1929" s="156"/>
      <c r="C1929" s="32"/>
      <c r="M1929" s="25"/>
    </row>
    <row r="1930" spans="1:13" ht="15.5" x14ac:dyDescent="0.35">
      <c r="A1930" s="2"/>
      <c r="B1930" s="156"/>
      <c r="C1930" s="32"/>
      <c r="M1930" s="25"/>
    </row>
    <row r="1931" spans="1:13" ht="15.5" x14ac:dyDescent="0.35">
      <c r="A1931" s="2"/>
      <c r="B1931" s="156"/>
      <c r="C1931" s="32"/>
      <c r="M1931" s="25"/>
    </row>
    <row r="1932" spans="1:13" ht="15.5" x14ac:dyDescent="0.35">
      <c r="A1932" s="2"/>
      <c r="B1932" s="156"/>
      <c r="C1932" s="32"/>
      <c r="M1932" s="25"/>
    </row>
    <row r="1933" spans="1:13" ht="15.5" x14ac:dyDescent="0.35">
      <c r="A1933" s="2"/>
      <c r="B1933" s="156"/>
      <c r="C1933" s="32"/>
      <c r="M1933" s="25"/>
    </row>
    <row r="1934" spans="1:13" ht="15.5" x14ac:dyDescent="0.35">
      <c r="A1934" s="2"/>
      <c r="B1934" s="156"/>
      <c r="C1934" s="32"/>
      <c r="M1934" s="25"/>
    </row>
    <row r="1935" spans="1:13" ht="15.5" x14ac:dyDescent="0.35">
      <c r="A1935" s="2"/>
      <c r="B1935" s="156"/>
      <c r="C1935" s="32"/>
      <c r="M1935" s="25"/>
    </row>
    <row r="1936" spans="1:13" ht="15.5" x14ac:dyDescent="0.35">
      <c r="A1936" s="2"/>
      <c r="B1936" s="156"/>
      <c r="C1936" s="32"/>
      <c r="M1936" s="25"/>
    </row>
    <row r="1937" spans="1:13" ht="15.5" x14ac:dyDescent="0.35">
      <c r="A1937" s="2"/>
      <c r="B1937" s="156"/>
      <c r="C1937" s="32"/>
      <c r="M1937" s="25"/>
    </row>
    <row r="1938" spans="1:13" ht="15.5" x14ac:dyDescent="0.35">
      <c r="A1938" s="2"/>
      <c r="B1938" s="156"/>
      <c r="C1938" s="32"/>
      <c r="M1938" s="25"/>
    </row>
    <row r="1939" spans="1:13" ht="15.5" x14ac:dyDescent="0.35">
      <c r="A1939" s="2"/>
      <c r="B1939" s="156"/>
      <c r="C1939" s="32"/>
      <c r="M1939" s="25"/>
    </row>
    <row r="1940" spans="1:13" ht="15.5" x14ac:dyDescent="0.35">
      <c r="A1940" s="2"/>
      <c r="B1940" s="156"/>
      <c r="C1940" s="32"/>
      <c r="M1940" s="25"/>
    </row>
    <row r="1941" spans="1:13" ht="15.5" x14ac:dyDescent="0.35">
      <c r="A1941" s="2"/>
      <c r="B1941" s="156"/>
      <c r="C1941" s="32"/>
      <c r="M1941" s="25"/>
    </row>
    <row r="1942" spans="1:13" ht="15.5" x14ac:dyDescent="0.35">
      <c r="A1942" s="2"/>
      <c r="B1942" s="156"/>
      <c r="C1942" s="32"/>
      <c r="M1942" s="25"/>
    </row>
    <row r="1943" spans="1:13" ht="15.5" x14ac:dyDescent="0.35">
      <c r="A1943" s="2"/>
      <c r="B1943" s="156"/>
      <c r="C1943" s="32"/>
      <c r="M1943" s="25"/>
    </row>
    <row r="1944" spans="1:13" ht="15.5" x14ac:dyDescent="0.35">
      <c r="A1944" s="2"/>
      <c r="B1944" s="156"/>
      <c r="C1944" s="32"/>
      <c r="M1944" s="25"/>
    </row>
    <row r="1945" spans="1:13" ht="15.5" x14ac:dyDescent="0.35">
      <c r="A1945" s="2"/>
      <c r="B1945" s="156"/>
      <c r="C1945" s="32"/>
      <c r="M1945" s="25"/>
    </row>
    <row r="1946" spans="1:13" ht="15.5" x14ac:dyDescent="0.35">
      <c r="A1946" s="2"/>
      <c r="B1946" s="156"/>
      <c r="C1946" s="32"/>
      <c r="M1946" s="25"/>
    </row>
    <row r="1947" spans="1:13" ht="15.5" x14ac:dyDescent="0.35">
      <c r="A1947" s="2"/>
      <c r="B1947" s="156"/>
      <c r="C1947" s="32"/>
      <c r="M1947" s="25"/>
    </row>
    <row r="1948" spans="1:13" ht="15.5" x14ac:dyDescent="0.35">
      <c r="A1948" s="2"/>
      <c r="B1948" s="156"/>
      <c r="C1948" s="32"/>
      <c r="M1948" s="25"/>
    </row>
    <row r="1949" spans="1:13" ht="15.5" x14ac:dyDescent="0.35">
      <c r="A1949" s="2"/>
      <c r="B1949" s="156"/>
      <c r="C1949" s="32"/>
      <c r="M1949" s="25"/>
    </row>
    <row r="1950" spans="1:13" ht="15.5" x14ac:dyDescent="0.35">
      <c r="A1950" s="2"/>
      <c r="B1950" s="156"/>
      <c r="C1950" s="32"/>
      <c r="M1950" s="25"/>
    </row>
    <row r="1951" spans="1:13" ht="15.5" x14ac:dyDescent="0.35">
      <c r="A1951" s="2"/>
      <c r="B1951" s="156"/>
      <c r="C1951" s="32"/>
      <c r="M1951" s="25"/>
    </row>
    <row r="1952" spans="1:13" ht="15.5" x14ac:dyDescent="0.35">
      <c r="A1952" s="2"/>
      <c r="B1952" s="156"/>
      <c r="C1952" s="32"/>
      <c r="M1952" s="25"/>
    </row>
    <row r="1953" spans="1:13" ht="15.5" x14ac:dyDescent="0.35">
      <c r="A1953" s="2"/>
      <c r="B1953" s="156"/>
      <c r="C1953" s="32"/>
      <c r="M1953" s="25"/>
    </row>
    <row r="1954" spans="1:13" ht="15.5" x14ac:dyDescent="0.35">
      <c r="A1954" s="2"/>
      <c r="B1954" s="156"/>
      <c r="C1954" s="32"/>
      <c r="M1954" s="25"/>
    </row>
    <row r="1955" spans="1:13" ht="15.5" x14ac:dyDescent="0.35">
      <c r="A1955" s="2"/>
      <c r="B1955" s="156"/>
      <c r="C1955" s="32"/>
      <c r="M1955" s="25"/>
    </row>
    <row r="1956" spans="1:13" ht="15.5" x14ac:dyDescent="0.35">
      <c r="A1956" s="2"/>
      <c r="B1956" s="156"/>
      <c r="C1956" s="32"/>
      <c r="M1956" s="25"/>
    </row>
    <row r="1957" spans="1:13" ht="15.5" x14ac:dyDescent="0.35">
      <c r="A1957" s="2"/>
      <c r="B1957" s="156"/>
      <c r="C1957" s="32"/>
      <c r="M1957" s="25"/>
    </row>
    <row r="1958" spans="1:13" ht="15.5" x14ac:dyDescent="0.35">
      <c r="A1958" s="2"/>
      <c r="B1958" s="156"/>
      <c r="C1958" s="32"/>
      <c r="M1958" s="25"/>
    </row>
    <row r="1959" spans="1:13" ht="15.5" x14ac:dyDescent="0.35">
      <c r="A1959" s="2"/>
      <c r="B1959" s="156"/>
      <c r="C1959" s="32"/>
      <c r="M1959" s="25"/>
    </row>
    <row r="1960" spans="1:13" ht="15.5" x14ac:dyDescent="0.35">
      <c r="A1960" s="2"/>
      <c r="B1960" s="156"/>
      <c r="C1960" s="32"/>
      <c r="M1960" s="25"/>
    </row>
    <row r="1961" spans="1:13" ht="15.5" x14ac:dyDescent="0.35">
      <c r="A1961" s="2"/>
      <c r="B1961" s="156"/>
      <c r="C1961" s="32"/>
      <c r="M1961" s="25"/>
    </row>
    <row r="1962" spans="1:13" ht="15.5" x14ac:dyDescent="0.35">
      <c r="A1962" s="2"/>
      <c r="B1962" s="156"/>
      <c r="C1962" s="32"/>
      <c r="M1962" s="25"/>
    </row>
    <row r="1963" spans="1:13" ht="15.5" x14ac:dyDescent="0.35">
      <c r="A1963" s="2"/>
      <c r="B1963" s="156"/>
      <c r="C1963" s="32"/>
      <c r="M1963" s="25"/>
    </row>
    <row r="1964" spans="1:13" ht="15.5" x14ac:dyDescent="0.35">
      <c r="A1964" s="2"/>
      <c r="B1964" s="156"/>
      <c r="C1964" s="32"/>
      <c r="M1964" s="25"/>
    </row>
    <row r="1965" spans="1:13" ht="15.5" x14ac:dyDescent="0.35">
      <c r="A1965" s="2"/>
      <c r="B1965" s="156"/>
      <c r="C1965" s="32"/>
      <c r="M1965" s="25"/>
    </row>
    <row r="1966" spans="1:13" ht="15.5" x14ac:dyDescent="0.35">
      <c r="A1966" s="2"/>
      <c r="B1966" s="156"/>
      <c r="C1966" s="32"/>
      <c r="M1966" s="25"/>
    </row>
    <row r="1967" spans="1:13" ht="15.5" x14ac:dyDescent="0.35">
      <c r="A1967" s="2"/>
      <c r="B1967" s="156"/>
      <c r="C1967" s="32"/>
      <c r="M1967" s="25"/>
    </row>
    <row r="1968" spans="1:13" ht="15.5" x14ac:dyDescent="0.35">
      <c r="A1968" s="2"/>
      <c r="B1968" s="156"/>
      <c r="C1968" s="32"/>
      <c r="M1968" s="25"/>
    </row>
    <row r="1969" spans="1:13" ht="15.5" x14ac:dyDescent="0.35">
      <c r="A1969" s="2"/>
      <c r="B1969" s="156"/>
      <c r="C1969" s="32"/>
      <c r="M1969" s="25"/>
    </row>
    <row r="1970" spans="1:13" ht="15.5" x14ac:dyDescent="0.35">
      <c r="A1970" s="2"/>
      <c r="B1970" s="156"/>
      <c r="C1970" s="32"/>
      <c r="M1970" s="25"/>
    </row>
    <row r="1971" spans="1:13" ht="15.5" x14ac:dyDescent="0.35">
      <c r="A1971" s="2"/>
      <c r="B1971" s="156"/>
      <c r="C1971" s="32"/>
      <c r="M1971" s="25"/>
    </row>
    <row r="1972" spans="1:13" ht="15.5" x14ac:dyDescent="0.35">
      <c r="A1972" s="2"/>
      <c r="B1972" s="156"/>
      <c r="C1972" s="32"/>
      <c r="M1972" s="25"/>
    </row>
    <row r="1973" spans="1:13" ht="15.5" x14ac:dyDescent="0.35">
      <c r="A1973" s="2"/>
      <c r="B1973" s="156"/>
      <c r="C1973" s="32"/>
      <c r="M1973" s="25"/>
    </row>
    <row r="1974" spans="1:13" ht="15.5" x14ac:dyDescent="0.35">
      <c r="A1974" s="2"/>
      <c r="B1974" s="156"/>
      <c r="C1974" s="32"/>
      <c r="M1974" s="25"/>
    </row>
    <row r="1975" spans="1:13" ht="15.5" x14ac:dyDescent="0.35">
      <c r="A1975" s="2"/>
      <c r="B1975" s="156"/>
      <c r="C1975" s="32"/>
      <c r="M1975" s="25"/>
    </row>
    <row r="1976" spans="1:13" ht="15.5" x14ac:dyDescent="0.35">
      <c r="A1976" s="2"/>
      <c r="B1976" s="156"/>
      <c r="C1976" s="32"/>
      <c r="M1976" s="25"/>
    </row>
    <row r="1977" spans="1:13" ht="15.5" x14ac:dyDescent="0.35">
      <c r="A1977" s="2"/>
      <c r="B1977" s="156"/>
      <c r="C1977" s="32"/>
      <c r="M1977" s="25"/>
    </row>
    <row r="1978" spans="1:13" ht="15.5" x14ac:dyDescent="0.35">
      <c r="A1978" s="2"/>
      <c r="B1978" s="156"/>
      <c r="C1978" s="32"/>
      <c r="M1978" s="25"/>
    </row>
    <row r="1979" spans="1:13" ht="15.5" x14ac:dyDescent="0.35">
      <c r="A1979" s="2"/>
      <c r="B1979" s="156"/>
      <c r="C1979" s="32"/>
      <c r="M1979" s="25"/>
    </row>
    <row r="1980" spans="1:13" ht="15.5" x14ac:dyDescent="0.35">
      <c r="A1980" s="2"/>
      <c r="B1980" s="156"/>
      <c r="C1980" s="32"/>
      <c r="M1980" s="25"/>
    </row>
    <row r="1981" spans="1:13" ht="15.5" x14ac:dyDescent="0.35">
      <c r="A1981" s="2"/>
      <c r="B1981" s="156"/>
      <c r="C1981" s="32"/>
      <c r="M1981" s="25"/>
    </row>
    <row r="1982" spans="1:13" ht="15.5" x14ac:dyDescent="0.35">
      <c r="A1982" s="2"/>
      <c r="B1982" s="156"/>
      <c r="C1982" s="32"/>
      <c r="M1982" s="25"/>
    </row>
    <row r="1983" spans="1:13" ht="15.5" x14ac:dyDescent="0.35">
      <c r="A1983" s="2"/>
      <c r="B1983" s="156"/>
      <c r="C1983" s="32"/>
      <c r="M1983" s="25"/>
    </row>
    <row r="1984" spans="1:13" ht="15.5" x14ac:dyDescent="0.35">
      <c r="A1984" s="2"/>
      <c r="B1984" s="156"/>
      <c r="C1984" s="32"/>
      <c r="M1984" s="25"/>
    </row>
    <row r="1985" spans="1:13" ht="15.5" x14ac:dyDescent="0.35">
      <c r="A1985" s="2"/>
      <c r="B1985" s="156"/>
      <c r="C1985" s="32"/>
      <c r="M1985" s="25"/>
    </row>
    <row r="1986" spans="1:13" ht="15.5" x14ac:dyDescent="0.35">
      <c r="A1986" s="2"/>
      <c r="B1986" s="156"/>
      <c r="C1986" s="32"/>
      <c r="M1986" s="25"/>
    </row>
    <row r="1987" spans="1:13" ht="15.5" x14ac:dyDescent="0.35">
      <c r="A1987" s="2"/>
      <c r="B1987" s="156"/>
      <c r="C1987" s="32"/>
      <c r="M1987" s="25"/>
    </row>
    <row r="1988" spans="1:13" ht="15.5" x14ac:dyDescent="0.35">
      <c r="A1988" s="2"/>
      <c r="B1988" s="156"/>
      <c r="C1988" s="32"/>
      <c r="M1988" s="25"/>
    </row>
    <row r="1989" spans="1:13" ht="15.5" x14ac:dyDescent="0.35">
      <c r="A1989" s="2"/>
      <c r="B1989" s="156"/>
      <c r="C1989" s="32"/>
      <c r="M1989" s="25"/>
    </row>
    <row r="1990" spans="1:13" ht="15.5" x14ac:dyDescent="0.35">
      <c r="A1990" s="2"/>
      <c r="B1990" s="156"/>
      <c r="C1990" s="32"/>
      <c r="M1990" s="25"/>
    </row>
    <row r="1991" spans="1:13" ht="15.5" x14ac:dyDescent="0.35">
      <c r="A1991" s="2"/>
      <c r="B1991" s="156"/>
      <c r="C1991" s="32"/>
      <c r="M1991" s="25"/>
    </row>
    <row r="1992" spans="1:13" ht="15.5" x14ac:dyDescent="0.35">
      <c r="A1992" s="2"/>
      <c r="B1992" s="156"/>
      <c r="C1992" s="32"/>
      <c r="M1992" s="25"/>
    </row>
    <row r="1993" spans="1:13" ht="15.5" x14ac:dyDescent="0.35">
      <c r="A1993" s="2"/>
      <c r="B1993" s="156"/>
      <c r="C1993" s="32"/>
      <c r="M1993" s="25"/>
    </row>
    <row r="1994" spans="1:13" ht="15.5" x14ac:dyDescent="0.35">
      <c r="A1994" s="2"/>
      <c r="B1994" s="156"/>
      <c r="C1994" s="32"/>
      <c r="M1994" s="25"/>
    </row>
    <row r="1995" spans="1:13" ht="15.5" x14ac:dyDescent="0.35">
      <c r="A1995" s="2"/>
      <c r="B1995" s="156"/>
      <c r="C1995" s="32"/>
      <c r="M1995" s="25"/>
    </row>
    <row r="1996" spans="1:13" ht="15.5" x14ac:dyDescent="0.35">
      <c r="A1996" s="2"/>
      <c r="B1996" s="156"/>
      <c r="C1996" s="32"/>
      <c r="M1996" s="25"/>
    </row>
    <row r="1997" spans="1:13" ht="15.5" x14ac:dyDescent="0.35">
      <c r="A1997" s="2"/>
      <c r="B1997" s="156"/>
      <c r="C1997" s="32"/>
      <c r="M1997" s="25"/>
    </row>
    <row r="1998" spans="1:13" ht="15.5" x14ac:dyDescent="0.35">
      <c r="A1998" s="2"/>
      <c r="B1998" s="156"/>
      <c r="C1998" s="32"/>
      <c r="M1998" s="25"/>
    </row>
    <row r="1999" spans="1:13" ht="15.5" x14ac:dyDescent="0.35">
      <c r="A1999" s="2"/>
      <c r="B1999" s="156"/>
      <c r="C1999" s="32"/>
      <c r="M1999" s="25"/>
    </row>
    <row r="2000" spans="1:13" ht="15.5" x14ac:dyDescent="0.35">
      <c r="A2000" s="2"/>
      <c r="B2000" s="156"/>
      <c r="C2000" s="32"/>
      <c r="M2000" s="25"/>
    </row>
    <row r="2001" spans="1:13" ht="15.5" x14ac:dyDescent="0.35">
      <c r="A2001" s="2"/>
      <c r="B2001" s="156"/>
      <c r="C2001" s="32"/>
      <c r="M2001" s="25"/>
    </row>
    <row r="2002" spans="1:13" ht="15.5" x14ac:dyDescent="0.35">
      <c r="A2002" s="2"/>
      <c r="B2002" s="156"/>
      <c r="C2002" s="32"/>
      <c r="M2002" s="25"/>
    </row>
    <row r="2003" spans="1:13" ht="15.5" x14ac:dyDescent="0.35">
      <c r="A2003" s="2"/>
      <c r="B2003" s="156"/>
      <c r="C2003" s="32"/>
      <c r="M2003" s="25"/>
    </row>
    <row r="2004" spans="1:13" ht="15.5" x14ac:dyDescent="0.35">
      <c r="A2004" s="2"/>
      <c r="B2004" s="156"/>
      <c r="C2004" s="32"/>
      <c r="M2004" s="25"/>
    </row>
    <row r="2005" spans="1:13" ht="15.5" x14ac:dyDescent="0.35">
      <c r="A2005" s="2"/>
      <c r="B2005" s="156"/>
      <c r="C2005" s="32"/>
      <c r="M2005" s="25"/>
    </row>
    <row r="2006" spans="1:13" ht="15.5" x14ac:dyDescent="0.35">
      <c r="A2006" s="2"/>
      <c r="B2006" s="156"/>
      <c r="C2006" s="32"/>
      <c r="M2006" s="25"/>
    </row>
    <row r="2007" spans="1:13" ht="15.5" x14ac:dyDescent="0.35">
      <c r="A2007" s="2"/>
      <c r="B2007" s="156"/>
      <c r="C2007" s="32"/>
      <c r="M2007" s="25"/>
    </row>
    <row r="2008" spans="1:13" ht="15.5" x14ac:dyDescent="0.35">
      <c r="A2008" s="2"/>
      <c r="B2008" s="156"/>
      <c r="C2008" s="32"/>
      <c r="M2008" s="25"/>
    </row>
    <row r="2009" spans="1:13" ht="15.5" x14ac:dyDescent="0.35">
      <c r="A2009" s="2"/>
      <c r="B2009" s="156"/>
      <c r="C2009" s="32"/>
      <c r="M2009" s="25"/>
    </row>
    <row r="2010" spans="1:13" ht="15.5" x14ac:dyDescent="0.35">
      <c r="A2010" s="2"/>
      <c r="B2010" s="156"/>
      <c r="C2010" s="32"/>
      <c r="M2010" s="25"/>
    </row>
    <row r="2011" spans="1:13" ht="15.5" x14ac:dyDescent="0.35">
      <c r="A2011" s="2"/>
      <c r="B2011" s="156"/>
      <c r="C2011" s="32"/>
      <c r="M2011" s="25"/>
    </row>
    <row r="2012" spans="1:13" ht="15.5" x14ac:dyDescent="0.35">
      <c r="A2012" s="2"/>
      <c r="B2012" s="156"/>
      <c r="C2012" s="32"/>
      <c r="M2012" s="25"/>
    </row>
    <row r="2013" spans="1:13" ht="15.5" x14ac:dyDescent="0.35">
      <c r="A2013" s="2"/>
      <c r="B2013" s="156"/>
      <c r="C2013" s="32"/>
      <c r="M2013" s="25"/>
    </row>
    <row r="2014" spans="1:13" ht="15.5" x14ac:dyDescent="0.35">
      <c r="A2014" s="2"/>
      <c r="B2014" s="156"/>
      <c r="C2014" s="32"/>
      <c r="M2014" s="25"/>
    </row>
    <row r="2015" spans="1:13" ht="15.5" x14ac:dyDescent="0.35">
      <c r="A2015" s="2"/>
      <c r="B2015" s="156"/>
      <c r="C2015" s="32"/>
      <c r="M2015" s="25"/>
    </row>
    <row r="2016" spans="1:13" ht="15.5" x14ac:dyDescent="0.35">
      <c r="A2016" s="2"/>
      <c r="B2016" s="156"/>
      <c r="C2016" s="32"/>
      <c r="M2016" s="25"/>
    </row>
    <row r="2017" spans="1:13" ht="15.5" x14ac:dyDescent="0.35">
      <c r="A2017" s="2"/>
      <c r="B2017" s="156"/>
      <c r="C2017" s="32"/>
      <c r="M2017" s="25"/>
    </row>
    <row r="2018" spans="1:13" ht="15.5" x14ac:dyDescent="0.35">
      <c r="A2018" s="2"/>
      <c r="B2018" s="156"/>
      <c r="C2018" s="32"/>
      <c r="M2018" s="25"/>
    </row>
    <row r="2019" spans="1:13" ht="15.5" x14ac:dyDescent="0.35">
      <c r="A2019" s="2"/>
      <c r="B2019" s="156"/>
      <c r="C2019" s="32"/>
      <c r="M2019" s="25"/>
    </row>
    <row r="2020" spans="1:13" ht="15.5" x14ac:dyDescent="0.35">
      <c r="A2020" s="2"/>
      <c r="B2020" s="156"/>
      <c r="C2020" s="32"/>
      <c r="M2020" s="25"/>
    </row>
    <row r="2021" spans="1:13" ht="15.5" x14ac:dyDescent="0.35">
      <c r="A2021" s="2"/>
      <c r="B2021" s="156"/>
      <c r="C2021" s="32"/>
      <c r="M2021" s="25"/>
    </row>
    <row r="2022" spans="1:13" ht="15.5" x14ac:dyDescent="0.35">
      <c r="A2022" s="2"/>
      <c r="B2022" s="156"/>
      <c r="C2022" s="32"/>
      <c r="M2022" s="25"/>
    </row>
    <row r="2023" spans="1:13" ht="15.5" x14ac:dyDescent="0.35">
      <c r="A2023" s="2"/>
      <c r="B2023" s="156"/>
      <c r="C2023" s="32"/>
      <c r="M2023" s="25"/>
    </row>
    <row r="2024" spans="1:13" ht="15.5" x14ac:dyDescent="0.35">
      <c r="A2024" s="2"/>
      <c r="B2024" s="156"/>
      <c r="C2024" s="32"/>
      <c r="M2024" s="25"/>
    </row>
    <row r="2025" spans="1:13" ht="15.5" x14ac:dyDescent="0.35">
      <c r="A2025" s="2"/>
      <c r="B2025" s="156"/>
      <c r="C2025" s="32"/>
      <c r="M2025" s="25"/>
    </row>
    <row r="2026" spans="1:13" ht="15.5" x14ac:dyDescent="0.35">
      <c r="A2026" s="2"/>
      <c r="B2026" s="156"/>
      <c r="C2026" s="32"/>
      <c r="M2026" s="25"/>
    </row>
    <row r="2027" spans="1:13" ht="15.5" x14ac:dyDescent="0.35">
      <c r="A2027" s="2"/>
      <c r="B2027" s="156"/>
      <c r="C2027" s="32"/>
      <c r="M2027" s="25"/>
    </row>
    <row r="2028" spans="1:13" ht="15.5" x14ac:dyDescent="0.35">
      <c r="A2028" s="2"/>
      <c r="B2028" s="156"/>
      <c r="C2028" s="32"/>
      <c r="M2028" s="25"/>
    </row>
    <row r="2029" spans="1:13" ht="15.5" x14ac:dyDescent="0.35">
      <c r="A2029" s="2"/>
      <c r="B2029" s="156"/>
      <c r="C2029" s="32"/>
      <c r="M2029" s="25"/>
    </row>
    <row r="2030" spans="1:13" ht="15.5" x14ac:dyDescent="0.35">
      <c r="A2030" s="2"/>
      <c r="B2030" s="156"/>
      <c r="C2030" s="32"/>
      <c r="M2030" s="25"/>
    </row>
    <row r="2031" spans="1:13" ht="15.5" x14ac:dyDescent="0.35">
      <c r="A2031" s="2"/>
      <c r="B2031" s="156"/>
      <c r="C2031" s="32"/>
      <c r="M2031" s="25"/>
    </row>
    <row r="2032" spans="1:13" ht="15.5" x14ac:dyDescent="0.35">
      <c r="A2032" s="2"/>
      <c r="B2032" s="156"/>
      <c r="C2032" s="32"/>
      <c r="M2032" s="25"/>
    </row>
    <row r="2033" spans="1:13" ht="15.5" x14ac:dyDescent="0.35">
      <c r="A2033" s="2"/>
      <c r="B2033" s="156"/>
      <c r="C2033" s="32"/>
      <c r="M2033" s="25"/>
    </row>
    <row r="2034" spans="1:13" ht="15.5" x14ac:dyDescent="0.35">
      <c r="A2034" s="2"/>
      <c r="B2034" s="156"/>
      <c r="C2034" s="32"/>
      <c r="M2034" s="25"/>
    </row>
    <row r="2035" spans="1:13" ht="15.5" x14ac:dyDescent="0.35">
      <c r="A2035" s="2"/>
      <c r="B2035" s="156"/>
      <c r="C2035" s="32"/>
      <c r="M2035" s="25"/>
    </row>
    <row r="2036" spans="1:13" ht="15.5" x14ac:dyDescent="0.35">
      <c r="A2036" s="2"/>
      <c r="B2036" s="156"/>
      <c r="C2036" s="32"/>
      <c r="M2036" s="25"/>
    </row>
    <row r="2037" spans="1:13" ht="15.5" x14ac:dyDescent="0.35">
      <c r="A2037" s="2"/>
      <c r="B2037" s="156"/>
      <c r="C2037" s="32"/>
      <c r="M2037" s="25"/>
    </row>
    <row r="2038" spans="1:13" ht="15.5" x14ac:dyDescent="0.35">
      <c r="A2038" s="2"/>
      <c r="B2038" s="156"/>
      <c r="C2038" s="32"/>
      <c r="M2038" s="25"/>
    </row>
    <row r="2039" spans="1:13" ht="15.5" x14ac:dyDescent="0.35">
      <c r="A2039" s="2"/>
      <c r="B2039" s="156"/>
      <c r="C2039" s="32"/>
      <c r="M2039" s="25"/>
    </row>
    <row r="2040" spans="1:13" ht="15.5" x14ac:dyDescent="0.35">
      <c r="A2040" s="2"/>
      <c r="B2040" s="156"/>
      <c r="C2040" s="32"/>
      <c r="M2040" s="25"/>
    </row>
    <row r="2041" spans="1:13" ht="15.5" x14ac:dyDescent="0.35">
      <c r="A2041" s="2"/>
      <c r="B2041" s="156"/>
      <c r="C2041" s="32"/>
      <c r="M2041" s="25"/>
    </row>
    <row r="2042" spans="1:13" ht="15.5" x14ac:dyDescent="0.35">
      <c r="A2042" s="2"/>
      <c r="B2042" s="156"/>
      <c r="C2042" s="32"/>
      <c r="M2042" s="25"/>
    </row>
    <row r="2043" spans="1:13" ht="15.5" x14ac:dyDescent="0.35">
      <c r="A2043" s="2"/>
      <c r="B2043" s="156"/>
      <c r="C2043" s="32"/>
      <c r="M2043" s="25"/>
    </row>
    <row r="2044" spans="1:13" ht="15.5" x14ac:dyDescent="0.35">
      <c r="A2044" s="2"/>
      <c r="B2044" s="156"/>
      <c r="C2044" s="32"/>
      <c r="M2044" s="25"/>
    </row>
    <row r="2045" spans="1:13" ht="15.5" x14ac:dyDescent="0.35">
      <c r="A2045" s="2"/>
      <c r="B2045" s="156"/>
      <c r="C2045" s="32"/>
      <c r="M2045" s="25"/>
    </row>
    <row r="2046" spans="1:13" ht="15.5" x14ac:dyDescent="0.35">
      <c r="A2046" s="2"/>
      <c r="B2046" s="156"/>
      <c r="C2046" s="32"/>
      <c r="M2046" s="25"/>
    </row>
    <row r="2047" spans="1:13" ht="15.5" x14ac:dyDescent="0.35">
      <c r="A2047" s="2"/>
      <c r="B2047" s="156"/>
      <c r="C2047" s="32"/>
      <c r="M2047" s="25"/>
    </row>
    <row r="2048" spans="1:13" ht="15.5" x14ac:dyDescent="0.35">
      <c r="A2048" s="2"/>
      <c r="B2048" s="156"/>
      <c r="C2048" s="32"/>
      <c r="M2048" s="25"/>
    </row>
    <row r="2049" spans="1:3" ht="15.5" x14ac:dyDescent="0.35">
      <c r="A2049" s="2"/>
      <c r="B2049" s="156"/>
      <c r="C2049" s="32"/>
    </row>
    <row r="2050" spans="1:3" ht="15.5" x14ac:dyDescent="0.35">
      <c r="A2050" s="2"/>
      <c r="B2050" s="156"/>
      <c r="C2050" s="32"/>
    </row>
    <row r="2051" spans="1:3" ht="15.5" x14ac:dyDescent="0.35">
      <c r="A2051" s="2"/>
      <c r="B2051" s="156"/>
      <c r="C2051" s="32"/>
    </row>
    <row r="2052" spans="1:3" ht="15.5" x14ac:dyDescent="0.35">
      <c r="A2052" s="2"/>
      <c r="B2052" s="156"/>
      <c r="C2052" s="32"/>
    </row>
    <row r="2053" spans="1:3" ht="15.5" x14ac:dyDescent="0.35">
      <c r="A2053" s="2"/>
      <c r="B2053" s="156"/>
      <c r="C2053" s="32"/>
    </row>
    <row r="2054" spans="1:3" ht="15.5" x14ac:dyDescent="0.35">
      <c r="A2054" s="2"/>
      <c r="B2054" s="156"/>
      <c r="C2054" s="32"/>
    </row>
    <row r="2055" spans="1:3" ht="15.5" x14ac:dyDescent="0.35">
      <c r="A2055" s="2"/>
      <c r="B2055" s="156"/>
      <c r="C2055" s="32"/>
    </row>
    <row r="2056" spans="1:3" ht="15.5" x14ac:dyDescent="0.35">
      <c r="A2056" s="2"/>
      <c r="B2056" s="156"/>
      <c r="C2056" s="32"/>
    </row>
    <row r="2057" spans="1:3" ht="15.5" x14ac:dyDescent="0.35">
      <c r="A2057" s="2"/>
      <c r="B2057" s="156"/>
      <c r="C2057" s="32"/>
    </row>
    <row r="2058" spans="1:3" ht="15.5" x14ac:dyDescent="0.35">
      <c r="A2058" s="2"/>
      <c r="B2058" s="156"/>
      <c r="C2058" s="32"/>
    </row>
    <row r="2059" spans="1:3" ht="15.5" x14ac:dyDescent="0.35">
      <c r="A2059" s="2"/>
      <c r="B2059" s="156"/>
      <c r="C2059" s="32"/>
    </row>
    <row r="2060" spans="1:3" ht="15.5" x14ac:dyDescent="0.35">
      <c r="A2060" s="2"/>
      <c r="B2060" s="156"/>
      <c r="C2060" s="32"/>
    </row>
    <row r="2061" spans="1:3" ht="15.5" x14ac:dyDescent="0.35">
      <c r="A2061" s="2"/>
      <c r="B2061" s="156"/>
      <c r="C2061" s="32"/>
    </row>
    <row r="2062" spans="1:3" ht="15.5" x14ac:dyDescent="0.35">
      <c r="A2062" s="2"/>
      <c r="B2062" s="156"/>
      <c r="C2062" s="32"/>
    </row>
    <row r="2063" spans="1:3" ht="15.5" x14ac:dyDescent="0.35">
      <c r="A2063" s="2"/>
      <c r="B2063" s="156"/>
      <c r="C2063" s="32"/>
    </row>
    <row r="2064" spans="1:3" ht="15.5" x14ac:dyDescent="0.35">
      <c r="A2064" s="2"/>
      <c r="B2064" s="156"/>
      <c r="C2064" s="32"/>
    </row>
    <row r="2065" spans="1:3" ht="15.5" x14ac:dyDescent="0.35">
      <c r="A2065" s="2"/>
      <c r="B2065" s="156"/>
      <c r="C2065" s="32"/>
    </row>
    <row r="2066" spans="1:3" ht="15.5" x14ac:dyDescent="0.35">
      <c r="A2066" s="2"/>
      <c r="B2066" s="156"/>
      <c r="C2066" s="32"/>
    </row>
    <row r="2067" spans="1:3" ht="15.5" x14ac:dyDescent="0.35">
      <c r="A2067" s="2"/>
      <c r="B2067" s="156"/>
      <c r="C2067" s="32"/>
    </row>
    <row r="2068" spans="1:3" ht="15.5" x14ac:dyDescent="0.35">
      <c r="A2068" s="2"/>
      <c r="B2068" s="156"/>
      <c r="C2068" s="32"/>
    </row>
    <row r="2069" spans="1:3" ht="15.5" x14ac:dyDescent="0.35">
      <c r="A2069" s="2"/>
      <c r="B2069" s="156"/>
      <c r="C2069" s="32"/>
    </row>
    <row r="2070" spans="1:3" ht="15.5" x14ac:dyDescent="0.35">
      <c r="A2070" s="2"/>
      <c r="B2070" s="156"/>
      <c r="C2070" s="32"/>
    </row>
    <row r="2071" spans="1:3" ht="15.5" x14ac:dyDescent="0.35">
      <c r="A2071" s="2"/>
      <c r="B2071" s="156"/>
      <c r="C2071" s="32"/>
    </row>
    <row r="2072" spans="1:3" ht="15.5" x14ac:dyDescent="0.35">
      <c r="A2072" s="2"/>
      <c r="B2072" s="156"/>
      <c r="C2072" s="32"/>
    </row>
    <row r="2073" spans="1:3" ht="15.5" x14ac:dyDescent="0.35">
      <c r="A2073" s="2"/>
      <c r="B2073" s="156"/>
      <c r="C2073" s="32"/>
    </row>
    <row r="2074" spans="1:3" ht="15.5" x14ac:dyDescent="0.35">
      <c r="A2074" s="2"/>
      <c r="B2074" s="156"/>
      <c r="C2074" s="32"/>
    </row>
    <row r="2075" spans="1:3" ht="15.5" x14ac:dyDescent="0.35">
      <c r="A2075" s="2"/>
      <c r="B2075" s="156"/>
      <c r="C2075" s="32"/>
    </row>
    <row r="2076" spans="1:3" ht="15.5" x14ac:dyDescent="0.35">
      <c r="A2076" s="2"/>
      <c r="B2076" s="156"/>
      <c r="C2076" s="32"/>
    </row>
    <row r="2077" spans="1:3" ht="15.5" x14ac:dyDescent="0.35">
      <c r="A2077" s="2"/>
      <c r="B2077" s="156"/>
      <c r="C2077" s="32"/>
    </row>
    <row r="2078" spans="1:3" ht="15.5" x14ac:dyDescent="0.35">
      <c r="A2078" s="2"/>
      <c r="B2078" s="156"/>
      <c r="C2078" s="32"/>
    </row>
    <row r="2079" spans="1:3" ht="15.5" x14ac:dyDescent="0.35">
      <c r="A2079" s="2"/>
      <c r="B2079" s="156"/>
      <c r="C2079" s="32"/>
    </row>
    <row r="2080" spans="1:3" ht="15.5" x14ac:dyDescent="0.35">
      <c r="A2080" s="2"/>
      <c r="B2080" s="156"/>
      <c r="C2080" s="32"/>
    </row>
    <row r="2081" spans="1:3" ht="15.5" x14ac:dyDescent="0.35">
      <c r="A2081" s="2"/>
      <c r="B2081" s="156"/>
      <c r="C2081" s="32"/>
    </row>
    <row r="2082" spans="1:3" ht="15.5" x14ac:dyDescent="0.35">
      <c r="A2082" s="2"/>
      <c r="B2082" s="156"/>
      <c r="C2082" s="32"/>
    </row>
    <row r="2083" spans="1:3" ht="15.5" x14ac:dyDescent="0.35">
      <c r="A2083" s="2"/>
      <c r="B2083" s="156"/>
      <c r="C2083" s="32"/>
    </row>
    <row r="2084" spans="1:3" ht="15.5" x14ac:dyDescent="0.35">
      <c r="A2084" s="2"/>
      <c r="B2084" s="156"/>
      <c r="C2084" s="32"/>
    </row>
    <row r="2085" spans="1:3" ht="15.5" x14ac:dyDescent="0.35">
      <c r="A2085" s="2"/>
      <c r="B2085" s="156"/>
      <c r="C2085" s="32"/>
    </row>
    <row r="2086" spans="1:3" ht="15.5" x14ac:dyDescent="0.35">
      <c r="A2086" s="2"/>
      <c r="B2086" s="156"/>
      <c r="C2086" s="32"/>
    </row>
    <row r="2087" spans="1:3" ht="15.5" x14ac:dyDescent="0.35">
      <c r="A2087" s="2"/>
      <c r="B2087" s="156"/>
      <c r="C2087" s="32"/>
    </row>
    <row r="2088" spans="1:3" ht="15.5" x14ac:dyDescent="0.35">
      <c r="A2088" s="2"/>
      <c r="B2088" s="156"/>
      <c r="C2088" s="32"/>
    </row>
    <row r="2089" spans="1:3" ht="15.5" x14ac:dyDescent="0.35">
      <c r="A2089" s="2"/>
      <c r="B2089" s="156"/>
      <c r="C2089" s="32"/>
    </row>
    <row r="2090" spans="1:3" ht="15.5" x14ac:dyDescent="0.35">
      <c r="A2090" s="2"/>
      <c r="B2090" s="156"/>
      <c r="C2090" s="32"/>
    </row>
    <row r="2091" spans="1:3" ht="15.5" x14ac:dyDescent="0.35">
      <c r="A2091" s="2"/>
      <c r="B2091" s="156"/>
      <c r="C2091" s="32"/>
    </row>
    <row r="2092" spans="1:3" ht="15.5" x14ac:dyDescent="0.35">
      <c r="A2092" s="2"/>
      <c r="B2092" s="156"/>
      <c r="C2092" s="32"/>
    </row>
    <row r="2093" spans="1:3" ht="15.5" x14ac:dyDescent="0.35">
      <c r="A2093" s="2"/>
      <c r="B2093" s="156"/>
      <c r="C2093" s="32"/>
    </row>
    <row r="2094" spans="1:3" ht="15.5" x14ac:dyDescent="0.35">
      <c r="A2094" s="2"/>
      <c r="B2094" s="156"/>
      <c r="C2094" s="32"/>
    </row>
    <row r="2095" spans="1:3" ht="15.5" x14ac:dyDescent="0.35">
      <c r="A2095" s="2"/>
      <c r="B2095" s="156"/>
      <c r="C2095" s="32"/>
    </row>
    <row r="2096" spans="1:3" ht="15.5" x14ac:dyDescent="0.35">
      <c r="A2096" s="2"/>
      <c r="B2096" s="156"/>
      <c r="C2096" s="32"/>
    </row>
    <row r="2097" spans="1:3" ht="15.5" x14ac:dyDescent="0.35">
      <c r="A2097" s="2"/>
      <c r="B2097" s="156"/>
      <c r="C2097" s="32"/>
    </row>
    <row r="2098" spans="1:3" ht="15.5" x14ac:dyDescent="0.35">
      <c r="A2098" s="2"/>
      <c r="B2098" s="156"/>
      <c r="C2098" s="32"/>
    </row>
    <row r="2099" spans="1:3" ht="15.5" x14ac:dyDescent="0.35">
      <c r="A2099" s="2"/>
      <c r="B2099" s="156"/>
      <c r="C2099" s="32"/>
    </row>
    <row r="2100" spans="1:3" ht="15.5" x14ac:dyDescent="0.35">
      <c r="A2100" s="2"/>
      <c r="B2100" s="156"/>
      <c r="C2100" s="32"/>
    </row>
    <row r="2101" spans="1:3" ht="15.5" x14ac:dyDescent="0.35">
      <c r="A2101" s="2"/>
      <c r="B2101" s="156"/>
      <c r="C2101" s="32"/>
    </row>
    <row r="2102" spans="1:3" ht="15.5" x14ac:dyDescent="0.35">
      <c r="A2102" s="2"/>
      <c r="B2102" s="156"/>
      <c r="C2102" s="32"/>
    </row>
    <row r="2103" spans="1:3" ht="15.5" x14ac:dyDescent="0.35">
      <c r="A2103" s="2"/>
      <c r="B2103" s="156"/>
      <c r="C2103" s="32"/>
    </row>
    <row r="2104" spans="1:3" ht="15.5" x14ac:dyDescent="0.35">
      <c r="A2104" s="2"/>
      <c r="B2104" s="156"/>
      <c r="C2104" s="32"/>
    </row>
    <row r="2105" spans="1:3" ht="15.5" x14ac:dyDescent="0.35">
      <c r="A2105" s="2"/>
      <c r="B2105" s="156"/>
      <c r="C2105" s="32"/>
    </row>
    <row r="2106" spans="1:3" ht="15.5" x14ac:dyDescent="0.35">
      <c r="A2106" s="2"/>
      <c r="B2106" s="156"/>
      <c r="C2106" s="32"/>
    </row>
    <row r="2107" spans="1:3" ht="15.5" x14ac:dyDescent="0.35">
      <c r="A2107" s="2"/>
      <c r="B2107" s="156"/>
      <c r="C2107" s="32"/>
    </row>
    <row r="2108" spans="1:3" ht="15.5" x14ac:dyDescent="0.35">
      <c r="A2108" s="2"/>
      <c r="B2108" s="156"/>
      <c r="C2108" s="32"/>
    </row>
    <row r="2109" spans="1:3" ht="15.5" x14ac:dyDescent="0.35">
      <c r="A2109" s="2"/>
      <c r="B2109" s="156"/>
      <c r="C2109" s="32"/>
    </row>
    <row r="2110" spans="1:3" ht="15.5" x14ac:dyDescent="0.35">
      <c r="A2110" s="2"/>
      <c r="B2110" s="156"/>
      <c r="C2110" s="32"/>
    </row>
    <row r="2111" spans="1:3" ht="15.5" x14ac:dyDescent="0.35">
      <c r="A2111" s="2"/>
      <c r="B2111" s="156"/>
      <c r="C2111" s="32"/>
    </row>
    <row r="2112" spans="1:3" ht="15.5" x14ac:dyDescent="0.35">
      <c r="A2112" s="2"/>
      <c r="B2112" s="156"/>
      <c r="C2112" s="32"/>
    </row>
    <row r="2113" spans="1:3" ht="15.5" x14ac:dyDescent="0.35">
      <c r="A2113" s="2"/>
      <c r="B2113" s="156"/>
      <c r="C2113" s="32"/>
    </row>
    <row r="2114" spans="1:3" ht="15.5" x14ac:dyDescent="0.35">
      <c r="A2114" s="2"/>
      <c r="B2114" s="156"/>
      <c r="C2114" s="32"/>
    </row>
    <row r="2115" spans="1:3" ht="15.5" x14ac:dyDescent="0.35">
      <c r="A2115" s="2"/>
      <c r="B2115" s="156"/>
      <c r="C2115" s="32"/>
    </row>
    <row r="2116" spans="1:3" ht="15.5" x14ac:dyDescent="0.35">
      <c r="A2116" s="2"/>
      <c r="B2116" s="156"/>
      <c r="C2116" s="32"/>
    </row>
    <row r="2117" spans="1:3" ht="15.5" x14ac:dyDescent="0.35">
      <c r="A2117" s="2"/>
      <c r="B2117" s="156"/>
      <c r="C2117" s="32"/>
    </row>
    <row r="2118" spans="1:3" ht="15.5" x14ac:dyDescent="0.35">
      <c r="A2118" s="2"/>
      <c r="B2118" s="156"/>
      <c r="C2118" s="32"/>
    </row>
    <row r="2119" spans="1:3" ht="15.5" x14ac:dyDescent="0.35">
      <c r="A2119" s="2"/>
      <c r="B2119" s="156"/>
      <c r="C2119" s="32"/>
    </row>
    <row r="2120" spans="1:3" ht="15.5" x14ac:dyDescent="0.35">
      <c r="A2120" s="2"/>
      <c r="B2120" s="156"/>
      <c r="C2120" s="32"/>
    </row>
    <row r="2121" spans="1:3" ht="15.5" x14ac:dyDescent="0.35">
      <c r="A2121" s="2"/>
      <c r="B2121" s="156"/>
      <c r="C2121" s="32"/>
    </row>
    <row r="2122" spans="1:3" ht="15.5" x14ac:dyDescent="0.35">
      <c r="A2122" s="2"/>
      <c r="B2122" s="156"/>
      <c r="C2122" s="32"/>
    </row>
    <row r="2123" spans="1:3" ht="15.5" x14ac:dyDescent="0.35">
      <c r="A2123" s="2"/>
      <c r="B2123" s="156"/>
      <c r="C2123" s="32"/>
    </row>
    <row r="2124" spans="1:3" ht="15.5" x14ac:dyDescent="0.35">
      <c r="A2124" s="2"/>
      <c r="B2124" s="156"/>
      <c r="C2124" s="32"/>
    </row>
    <row r="2125" spans="1:3" ht="15.5" x14ac:dyDescent="0.35">
      <c r="A2125" s="2"/>
      <c r="B2125" s="156"/>
      <c r="C2125" s="32"/>
    </row>
    <row r="2126" spans="1:3" ht="15.5" x14ac:dyDescent="0.35">
      <c r="A2126" s="2"/>
      <c r="B2126" s="156"/>
      <c r="C2126" s="32"/>
    </row>
    <row r="2127" spans="1:3" ht="15.5" x14ac:dyDescent="0.35">
      <c r="A2127" s="2"/>
      <c r="B2127" s="156"/>
      <c r="C2127" s="32"/>
    </row>
    <row r="2128" spans="1:3" ht="15.5" x14ac:dyDescent="0.35">
      <c r="A2128" s="2"/>
      <c r="B2128" s="156"/>
      <c r="C2128" s="32"/>
    </row>
    <row r="2129" spans="1:3" ht="15.5" x14ac:dyDescent="0.35">
      <c r="A2129" s="2"/>
      <c r="B2129" s="156"/>
      <c r="C2129" s="32"/>
    </row>
    <row r="2130" spans="1:3" ht="15.5" x14ac:dyDescent="0.35">
      <c r="A2130" s="2"/>
      <c r="B2130" s="156"/>
      <c r="C2130" s="32"/>
    </row>
    <row r="2131" spans="1:3" ht="15.5" x14ac:dyDescent="0.35">
      <c r="A2131" s="2"/>
      <c r="B2131" s="156"/>
      <c r="C2131" s="32"/>
    </row>
    <row r="2132" spans="1:3" ht="15.5" x14ac:dyDescent="0.35">
      <c r="A2132" s="2"/>
      <c r="B2132" s="156"/>
      <c r="C2132" s="32"/>
    </row>
    <row r="2133" spans="1:3" ht="15.5" x14ac:dyDescent="0.35">
      <c r="A2133" s="2"/>
      <c r="B2133" s="156"/>
      <c r="C2133" s="32"/>
    </row>
    <row r="2134" spans="1:3" ht="15.5" x14ac:dyDescent="0.35">
      <c r="A2134" s="2"/>
      <c r="B2134" s="156"/>
      <c r="C2134" s="32"/>
    </row>
    <row r="2135" spans="1:3" ht="15.5" x14ac:dyDescent="0.35">
      <c r="A2135" s="2"/>
      <c r="B2135" s="156"/>
      <c r="C2135" s="32"/>
    </row>
    <row r="2136" spans="1:3" ht="15.5" x14ac:dyDescent="0.35">
      <c r="A2136" s="2"/>
      <c r="B2136" s="156"/>
      <c r="C2136" s="32"/>
    </row>
    <row r="2137" spans="1:3" ht="15.5" x14ac:dyDescent="0.35">
      <c r="A2137" s="2"/>
      <c r="B2137" s="156"/>
      <c r="C2137" s="32"/>
    </row>
    <row r="2138" spans="1:3" ht="15.5" x14ac:dyDescent="0.35">
      <c r="A2138" s="2"/>
      <c r="B2138" s="156"/>
      <c r="C2138" s="32"/>
    </row>
    <row r="2139" spans="1:3" ht="15.5" x14ac:dyDescent="0.35">
      <c r="A2139" s="2"/>
      <c r="B2139" s="156"/>
      <c r="C2139" s="32"/>
    </row>
    <row r="2140" spans="1:3" ht="15.5" x14ac:dyDescent="0.35">
      <c r="A2140" s="2"/>
      <c r="B2140" s="156"/>
      <c r="C2140" s="32"/>
    </row>
    <row r="2141" spans="1:3" ht="15.5" x14ac:dyDescent="0.35">
      <c r="A2141" s="2"/>
      <c r="B2141" s="156"/>
      <c r="C2141" s="32"/>
    </row>
    <row r="2142" spans="1:3" ht="15.5" x14ac:dyDescent="0.35">
      <c r="A2142" s="2"/>
      <c r="B2142" s="156"/>
      <c r="C2142" s="32"/>
    </row>
    <row r="2143" spans="1:3" ht="15.5" x14ac:dyDescent="0.35">
      <c r="A2143" s="2"/>
      <c r="B2143" s="156"/>
      <c r="C2143" s="32"/>
    </row>
    <row r="2144" spans="1:3" ht="15.5" x14ac:dyDescent="0.35">
      <c r="A2144" s="2"/>
      <c r="B2144" s="156"/>
      <c r="C2144" s="32"/>
    </row>
    <row r="2145" spans="1:3" ht="15.5" x14ac:dyDescent="0.35">
      <c r="A2145" s="2"/>
      <c r="B2145" s="156"/>
      <c r="C2145" s="32"/>
    </row>
    <row r="2146" spans="1:3" ht="15.5" x14ac:dyDescent="0.35">
      <c r="A2146" s="2"/>
      <c r="B2146" s="156"/>
      <c r="C2146" s="32"/>
    </row>
    <row r="2147" spans="1:3" ht="15.5" x14ac:dyDescent="0.35">
      <c r="A2147" s="2"/>
      <c r="B2147" s="156"/>
      <c r="C2147" s="32"/>
    </row>
    <row r="2148" spans="1:3" ht="15.5" x14ac:dyDescent="0.35">
      <c r="A2148" s="2"/>
      <c r="B2148" s="156"/>
      <c r="C2148" s="32"/>
    </row>
    <row r="2149" spans="1:3" ht="15.5" x14ac:dyDescent="0.35">
      <c r="A2149" s="2"/>
      <c r="B2149" s="156"/>
      <c r="C2149" s="32"/>
    </row>
    <row r="2150" spans="1:3" ht="15.5" x14ac:dyDescent="0.35">
      <c r="A2150" s="2"/>
      <c r="B2150" s="156"/>
      <c r="C2150" s="32"/>
    </row>
    <row r="2151" spans="1:3" ht="15.5" x14ac:dyDescent="0.35">
      <c r="A2151" s="2"/>
      <c r="B2151" s="156"/>
      <c r="C2151" s="32"/>
    </row>
    <row r="2152" spans="1:3" ht="15.5" x14ac:dyDescent="0.35">
      <c r="A2152" s="2"/>
      <c r="B2152" s="156"/>
      <c r="C2152" s="32"/>
    </row>
    <row r="2153" spans="1:3" ht="15.5" x14ac:dyDescent="0.35">
      <c r="A2153" s="2"/>
      <c r="B2153" s="156"/>
      <c r="C2153" s="32"/>
    </row>
    <row r="2154" spans="1:3" ht="15.5" x14ac:dyDescent="0.35">
      <c r="A2154" s="2"/>
      <c r="B2154" s="156"/>
      <c r="C2154" s="32"/>
    </row>
    <row r="2155" spans="1:3" ht="15.5" x14ac:dyDescent="0.35">
      <c r="A2155" s="2"/>
      <c r="B2155" s="156"/>
      <c r="C2155" s="32"/>
    </row>
    <row r="2156" spans="1:3" ht="15.5" x14ac:dyDescent="0.35">
      <c r="A2156" s="2"/>
      <c r="B2156" s="156"/>
      <c r="C2156" s="32"/>
    </row>
    <row r="2157" spans="1:3" ht="15.5" x14ac:dyDescent="0.35">
      <c r="A2157" s="2"/>
      <c r="B2157" s="156"/>
      <c r="C2157" s="32"/>
    </row>
    <row r="2158" spans="1:3" ht="15.5" x14ac:dyDescent="0.35">
      <c r="A2158" s="2"/>
      <c r="B2158" s="156"/>
      <c r="C2158" s="32"/>
    </row>
    <row r="2159" spans="1:3" ht="15.5" x14ac:dyDescent="0.35">
      <c r="A2159" s="2"/>
      <c r="B2159" s="156"/>
      <c r="C2159" s="32"/>
    </row>
    <row r="2160" spans="1:3" ht="15.5" x14ac:dyDescent="0.35">
      <c r="A2160" s="2"/>
      <c r="B2160" s="156"/>
      <c r="C2160" s="32"/>
    </row>
    <row r="2161" spans="1:3" ht="15.5" x14ac:dyDescent="0.35">
      <c r="A2161" s="2"/>
      <c r="B2161" s="156"/>
      <c r="C2161" s="32"/>
    </row>
    <row r="2162" spans="1:3" ht="15.5" x14ac:dyDescent="0.35">
      <c r="A2162" s="2"/>
      <c r="B2162" s="156"/>
      <c r="C2162" s="32"/>
    </row>
    <row r="2163" spans="1:3" ht="15.5" x14ac:dyDescent="0.35">
      <c r="A2163" s="2"/>
      <c r="B2163" s="156"/>
      <c r="C2163" s="32"/>
    </row>
    <row r="2164" spans="1:3" ht="15.5" x14ac:dyDescent="0.35">
      <c r="A2164" s="2"/>
      <c r="B2164" s="156"/>
      <c r="C2164" s="32"/>
    </row>
    <row r="2165" spans="1:3" ht="15.5" x14ac:dyDescent="0.35">
      <c r="A2165" s="2"/>
      <c r="B2165" s="156"/>
      <c r="C2165" s="32"/>
    </row>
    <row r="2166" spans="1:3" ht="15.5" x14ac:dyDescent="0.35">
      <c r="A2166" s="2"/>
      <c r="B2166" s="156"/>
      <c r="C2166" s="32"/>
    </row>
    <row r="2167" spans="1:3" ht="15.5" x14ac:dyDescent="0.35">
      <c r="A2167" s="2"/>
      <c r="B2167" s="156"/>
      <c r="C2167" s="32"/>
    </row>
    <row r="2168" spans="1:3" ht="15.5" x14ac:dyDescent="0.35">
      <c r="A2168" s="2"/>
      <c r="B2168" s="156"/>
      <c r="C2168" s="32"/>
    </row>
    <row r="2169" spans="1:3" ht="15.5" x14ac:dyDescent="0.35">
      <c r="A2169" s="2"/>
      <c r="B2169" s="156"/>
      <c r="C2169" s="32"/>
    </row>
    <row r="2170" spans="1:3" ht="15.5" x14ac:dyDescent="0.35">
      <c r="A2170" s="2"/>
      <c r="B2170" s="156"/>
      <c r="C2170" s="32"/>
    </row>
    <row r="2171" spans="1:3" ht="15.5" x14ac:dyDescent="0.35">
      <c r="A2171" s="2"/>
      <c r="B2171" s="156"/>
      <c r="C2171" s="32"/>
    </row>
    <row r="2172" spans="1:3" ht="15.5" x14ac:dyDescent="0.35">
      <c r="A2172" s="2"/>
      <c r="B2172" s="156"/>
      <c r="C2172" s="32"/>
    </row>
    <row r="2173" spans="1:3" ht="15.5" x14ac:dyDescent="0.35">
      <c r="A2173" s="2"/>
      <c r="B2173" s="156"/>
      <c r="C2173" s="32"/>
    </row>
    <row r="2174" spans="1:3" ht="15.5" x14ac:dyDescent="0.35">
      <c r="A2174" s="2"/>
      <c r="B2174" s="156"/>
      <c r="C2174" s="32"/>
    </row>
    <row r="2175" spans="1:3" ht="15.5" x14ac:dyDescent="0.35">
      <c r="A2175" s="2"/>
      <c r="B2175" s="156"/>
      <c r="C2175" s="32"/>
    </row>
    <row r="2176" spans="1:3" ht="15.5" x14ac:dyDescent="0.35">
      <c r="A2176" s="2"/>
      <c r="B2176" s="156"/>
      <c r="C2176" s="32"/>
    </row>
    <row r="2177" spans="1:3" ht="15.5" x14ac:dyDescent="0.35">
      <c r="A2177" s="2"/>
      <c r="B2177" s="156"/>
      <c r="C2177" s="32"/>
    </row>
    <row r="2178" spans="1:3" ht="15.5" x14ac:dyDescent="0.35">
      <c r="A2178" s="2"/>
      <c r="B2178" s="156"/>
      <c r="C2178" s="32"/>
    </row>
    <row r="2179" spans="1:3" ht="15.5" x14ac:dyDescent="0.35">
      <c r="A2179" s="2"/>
      <c r="B2179" s="156"/>
      <c r="C2179" s="32"/>
    </row>
    <row r="2180" spans="1:3" ht="15.5" x14ac:dyDescent="0.35">
      <c r="A2180" s="2"/>
      <c r="B2180" s="156"/>
      <c r="C2180" s="32"/>
    </row>
    <row r="2181" spans="1:3" ht="15.5" x14ac:dyDescent="0.35">
      <c r="A2181" s="2"/>
      <c r="B2181" s="156"/>
      <c r="C2181" s="32"/>
    </row>
    <row r="2182" spans="1:3" ht="15.5" x14ac:dyDescent="0.35">
      <c r="A2182" s="2"/>
      <c r="B2182" s="156"/>
      <c r="C2182" s="32"/>
    </row>
    <row r="2183" spans="1:3" ht="15.5" x14ac:dyDescent="0.35">
      <c r="A2183" s="2"/>
      <c r="B2183" s="156"/>
      <c r="C2183" s="32"/>
    </row>
    <row r="2184" spans="1:3" ht="15.5" x14ac:dyDescent="0.35">
      <c r="A2184" s="2"/>
      <c r="B2184" s="156"/>
      <c r="C2184" s="32"/>
    </row>
    <row r="2185" spans="1:3" ht="15.5" x14ac:dyDescent="0.35">
      <c r="A2185" s="2"/>
      <c r="B2185" s="156"/>
      <c r="C2185" s="32"/>
    </row>
    <row r="2186" spans="1:3" ht="15.5" x14ac:dyDescent="0.35">
      <c r="A2186" s="2"/>
      <c r="B2186" s="156"/>
      <c r="C2186" s="32"/>
    </row>
    <row r="2187" spans="1:3" ht="15.5" x14ac:dyDescent="0.35">
      <c r="A2187" s="2"/>
      <c r="B2187" s="156"/>
      <c r="C2187" s="32"/>
    </row>
    <row r="2188" spans="1:3" ht="15.5" x14ac:dyDescent="0.35">
      <c r="A2188" s="2"/>
      <c r="B2188" s="156"/>
      <c r="C2188" s="32"/>
    </row>
    <row r="2189" spans="1:3" ht="15.5" x14ac:dyDescent="0.35">
      <c r="A2189" s="2"/>
      <c r="B2189" s="156"/>
      <c r="C2189" s="32"/>
    </row>
    <row r="2190" spans="1:3" ht="15.5" x14ac:dyDescent="0.35">
      <c r="A2190" s="2"/>
      <c r="B2190" s="156"/>
      <c r="C2190" s="32"/>
    </row>
    <row r="2191" spans="1:3" ht="15.5" x14ac:dyDescent="0.35">
      <c r="A2191" s="2"/>
      <c r="B2191" s="156"/>
      <c r="C2191" s="32"/>
    </row>
    <row r="2192" spans="1:3" ht="15.5" x14ac:dyDescent="0.35">
      <c r="A2192" s="2"/>
      <c r="B2192" s="156"/>
      <c r="C2192" s="32"/>
    </row>
    <row r="2193" spans="1:3" ht="15.5" x14ac:dyDescent="0.35">
      <c r="A2193" s="2"/>
      <c r="B2193" s="156"/>
      <c r="C2193" s="32"/>
    </row>
    <row r="2194" spans="1:3" ht="15.5" x14ac:dyDescent="0.35">
      <c r="A2194" s="2"/>
      <c r="B2194" s="156"/>
      <c r="C2194" s="32"/>
    </row>
    <row r="2195" spans="1:3" ht="15.5" x14ac:dyDescent="0.35">
      <c r="A2195" s="2"/>
      <c r="B2195" s="156"/>
      <c r="C2195" s="32"/>
    </row>
    <row r="2196" spans="1:3" ht="15.5" x14ac:dyDescent="0.35">
      <c r="A2196" s="2"/>
      <c r="B2196" s="156"/>
      <c r="C2196" s="32"/>
    </row>
    <row r="2197" spans="1:3" ht="15.5" x14ac:dyDescent="0.35">
      <c r="A2197" s="2"/>
      <c r="B2197" s="156"/>
      <c r="C2197" s="32"/>
    </row>
    <row r="2198" spans="1:3" ht="15.5" x14ac:dyDescent="0.35">
      <c r="A2198" s="2"/>
      <c r="B2198" s="156"/>
      <c r="C2198" s="32"/>
    </row>
    <row r="2199" spans="1:3" ht="15.5" x14ac:dyDescent="0.35">
      <c r="A2199" s="2"/>
      <c r="B2199" s="156"/>
      <c r="C2199" s="32"/>
    </row>
    <row r="2200" spans="1:3" ht="15.5" x14ac:dyDescent="0.35">
      <c r="A2200" s="2"/>
      <c r="B2200" s="156"/>
      <c r="C2200" s="32"/>
    </row>
    <row r="2201" spans="1:3" ht="15.5" x14ac:dyDescent="0.35">
      <c r="A2201" s="2"/>
      <c r="B2201" s="156"/>
      <c r="C2201" s="32"/>
    </row>
    <row r="2202" spans="1:3" ht="15.5" x14ac:dyDescent="0.35">
      <c r="A2202" s="2"/>
      <c r="B2202" s="156"/>
      <c r="C2202" s="32"/>
    </row>
    <row r="2203" spans="1:3" ht="15.5" x14ac:dyDescent="0.35">
      <c r="A2203" s="2"/>
      <c r="B2203" s="156"/>
      <c r="C2203" s="32"/>
    </row>
    <row r="2204" spans="1:3" ht="15.5" x14ac:dyDescent="0.35">
      <c r="A2204" s="2"/>
      <c r="B2204" s="156"/>
      <c r="C2204" s="32"/>
    </row>
    <row r="2205" spans="1:3" ht="15.5" x14ac:dyDescent="0.35">
      <c r="A2205" s="2"/>
      <c r="B2205" s="156"/>
      <c r="C2205" s="32"/>
    </row>
    <row r="2206" spans="1:3" ht="15.5" x14ac:dyDescent="0.35">
      <c r="A2206" s="2"/>
      <c r="B2206" s="156"/>
      <c r="C2206" s="32"/>
    </row>
    <row r="2207" spans="1:3" ht="15.5" x14ac:dyDescent="0.35">
      <c r="A2207" s="2"/>
      <c r="B2207" s="156"/>
      <c r="C2207" s="32"/>
    </row>
    <row r="2208" spans="1:3" ht="15.5" x14ac:dyDescent="0.35">
      <c r="A2208" s="2"/>
      <c r="B2208" s="156"/>
      <c r="C2208" s="32"/>
    </row>
    <row r="2209" spans="1:3" ht="15.5" x14ac:dyDescent="0.35">
      <c r="A2209" s="2"/>
      <c r="B2209" s="156"/>
      <c r="C2209" s="32"/>
    </row>
    <row r="2210" spans="1:3" ht="15.5" x14ac:dyDescent="0.35">
      <c r="A2210" s="2"/>
      <c r="B2210" s="156"/>
      <c r="C2210" s="32"/>
    </row>
    <row r="2211" spans="1:3" ht="15.5" x14ac:dyDescent="0.35">
      <c r="A2211" s="2"/>
      <c r="B2211" s="156"/>
      <c r="C2211" s="32"/>
    </row>
    <row r="2212" spans="1:3" ht="15.5" x14ac:dyDescent="0.35">
      <c r="A2212" s="2"/>
      <c r="B2212" s="156"/>
      <c r="C2212" s="32"/>
    </row>
    <row r="2213" spans="1:3" ht="15.5" x14ac:dyDescent="0.35">
      <c r="A2213" s="2"/>
      <c r="B2213" s="156"/>
      <c r="C2213" s="32"/>
    </row>
    <row r="2214" spans="1:3" ht="15.5" x14ac:dyDescent="0.35">
      <c r="A2214" s="2"/>
      <c r="B2214" s="156"/>
      <c r="C2214" s="32"/>
    </row>
    <row r="2215" spans="1:3" ht="15.5" x14ac:dyDescent="0.35">
      <c r="A2215" s="2"/>
      <c r="B2215" s="156"/>
      <c r="C2215" s="32"/>
    </row>
    <row r="2216" spans="1:3" ht="15.5" x14ac:dyDescent="0.35">
      <c r="A2216" s="2"/>
      <c r="B2216" s="156"/>
      <c r="C2216" s="32"/>
    </row>
    <row r="2217" spans="1:3" ht="15.5" x14ac:dyDescent="0.35">
      <c r="A2217" s="2"/>
      <c r="B2217" s="156"/>
      <c r="C2217" s="32"/>
    </row>
    <row r="2218" spans="1:3" ht="15.5" x14ac:dyDescent="0.35">
      <c r="A2218" s="2"/>
      <c r="B2218" s="156"/>
      <c r="C2218" s="32"/>
    </row>
    <row r="2219" spans="1:3" ht="15.5" x14ac:dyDescent="0.35">
      <c r="A2219" s="2"/>
      <c r="B2219" s="156"/>
      <c r="C2219" s="32"/>
    </row>
    <row r="2220" spans="1:3" ht="15.5" x14ac:dyDescent="0.35">
      <c r="A2220" s="2"/>
      <c r="B2220" s="156"/>
      <c r="C2220" s="32"/>
    </row>
    <row r="2221" spans="1:3" ht="15.5" x14ac:dyDescent="0.35">
      <c r="A2221" s="2"/>
      <c r="B2221" s="156"/>
      <c r="C2221" s="32"/>
    </row>
    <row r="2222" spans="1:3" ht="15.5" x14ac:dyDescent="0.35">
      <c r="A2222" s="2"/>
      <c r="B2222" s="156"/>
      <c r="C2222" s="32"/>
    </row>
    <row r="2223" spans="1:3" ht="15.5" x14ac:dyDescent="0.35">
      <c r="A2223" s="2"/>
      <c r="B2223" s="156"/>
      <c r="C2223" s="32"/>
    </row>
    <row r="2224" spans="1:3" ht="15.5" x14ac:dyDescent="0.35">
      <c r="A2224" s="2"/>
      <c r="B2224" s="156"/>
      <c r="C2224" s="32"/>
    </row>
    <row r="2225" spans="1:3" ht="15.5" x14ac:dyDescent="0.35">
      <c r="A2225" s="2"/>
      <c r="B2225" s="156"/>
      <c r="C2225" s="32"/>
    </row>
    <row r="2226" spans="1:3" ht="15.5" x14ac:dyDescent="0.35">
      <c r="A2226" s="2"/>
      <c r="B2226" s="156"/>
      <c r="C2226" s="32"/>
    </row>
    <row r="2227" spans="1:3" ht="15.5" x14ac:dyDescent="0.35">
      <c r="A2227" s="2"/>
      <c r="B2227" s="156"/>
      <c r="C2227" s="32"/>
    </row>
    <row r="2228" spans="1:3" ht="15.5" x14ac:dyDescent="0.35">
      <c r="A2228" s="2"/>
      <c r="B2228" s="156"/>
      <c r="C2228" s="32"/>
    </row>
    <row r="2229" spans="1:3" ht="15.5" x14ac:dyDescent="0.35">
      <c r="A2229" s="2"/>
      <c r="B2229" s="156"/>
      <c r="C2229" s="32"/>
    </row>
    <row r="2230" spans="1:3" ht="15.5" x14ac:dyDescent="0.35">
      <c r="A2230" s="2"/>
      <c r="B2230" s="156"/>
      <c r="C2230" s="32"/>
    </row>
    <row r="2231" spans="1:3" ht="15.5" x14ac:dyDescent="0.35">
      <c r="A2231" s="2"/>
      <c r="B2231" s="156"/>
      <c r="C2231" s="32"/>
    </row>
    <row r="2232" spans="1:3" ht="15.5" x14ac:dyDescent="0.35">
      <c r="A2232" s="2"/>
      <c r="B2232" s="156"/>
      <c r="C2232" s="32"/>
    </row>
    <row r="2233" spans="1:3" ht="15.5" x14ac:dyDescent="0.35">
      <c r="A2233" s="2"/>
      <c r="B2233" s="156"/>
      <c r="C2233" s="32"/>
    </row>
    <row r="2234" spans="1:3" ht="15.5" x14ac:dyDescent="0.35">
      <c r="A2234" s="2"/>
      <c r="B2234" s="156"/>
      <c r="C2234" s="32"/>
    </row>
    <row r="2235" spans="1:3" ht="15.5" x14ac:dyDescent="0.35">
      <c r="A2235" s="2"/>
      <c r="B2235" s="156"/>
      <c r="C2235" s="32"/>
    </row>
    <row r="2236" spans="1:3" ht="15.5" x14ac:dyDescent="0.35">
      <c r="A2236" s="2"/>
      <c r="B2236" s="156"/>
      <c r="C2236" s="32"/>
    </row>
    <row r="2237" spans="1:3" ht="15.5" x14ac:dyDescent="0.35">
      <c r="A2237" s="2"/>
      <c r="B2237" s="156"/>
      <c r="C2237" s="32"/>
    </row>
    <row r="2238" spans="1:3" ht="15.5" x14ac:dyDescent="0.35">
      <c r="A2238" s="2"/>
      <c r="B2238" s="156"/>
      <c r="C2238" s="32"/>
    </row>
    <row r="2239" spans="1:3" ht="15.5" x14ac:dyDescent="0.35">
      <c r="A2239" s="2"/>
      <c r="B2239" s="156"/>
      <c r="C2239" s="32"/>
    </row>
    <row r="2240" spans="1:3" ht="15.5" x14ac:dyDescent="0.35">
      <c r="A2240" s="2"/>
      <c r="B2240" s="156"/>
      <c r="C2240" s="32"/>
    </row>
    <row r="2241" spans="1:3" ht="15.5" x14ac:dyDescent="0.35">
      <c r="A2241" s="2"/>
      <c r="B2241" s="156"/>
      <c r="C2241" s="32"/>
    </row>
    <row r="2242" spans="1:3" ht="15.5" x14ac:dyDescent="0.35">
      <c r="A2242" s="2"/>
      <c r="B2242" s="156"/>
      <c r="C2242" s="32"/>
    </row>
    <row r="2243" spans="1:3" ht="15.5" x14ac:dyDescent="0.35">
      <c r="A2243" s="2"/>
      <c r="B2243" s="156"/>
      <c r="C2243" s="32"/>
    </row>
    <row r="2244" spans="1:3" ht="15.5" x14ac:dyDescent="0.35">
      <c r="A2244" s="2"/>
      <c r="B2244" s="156"/>
      <c r="C2244" s="32"/>
    </row>
    <row r="2245" spans="1:3" ht="15.5" x14ac:dyDescent="0.35">
      <c r="A2245" s="2"/>
      <c r="B2245" s="156"/>
      <c r="C2245" s="32"/>
    </row>
    <row r="2246" spans="1:3" ht="15.5" x14ac:dyDescent="0.35">
      <c r="A2246" s="2"/>
      <c r="B2246" s="156"/>
      <c r="C2246" s="32"/>
    </row>
    <row r="2247" spans="1:3" ht="15.5" x14ac:dyDescent="0.35">
      <c r="A2247" s="2"/>
      <c r="B2247" s="156"/>
      <c r="C2247" s="32"/>
    </row>
    <row r="2248" spans="1:3" ht="15.5" x14ac:dyDescent="0.35">
      <c r="A2248" s="2"/>
      <c r="B2248" s="156"/>
      <c r="C2248" s="32"/>
    </row>
    <row r="2249" spans="1:3" ht="15.5" x14ac:dyDescent="0.35">
      <c r="A2249" s="2"/>
      <c r="B2249" s="156"/>
      <c r="C2249" s="32"/>
    </row>
    <row r="2250" spans="1:3" ht="15.5" x14ac:dyDescent="0.35">
      <c r="A2250" s="2"/>
      <c r="B2250" s="156"/>
      <c r="C2250" s="32"/>
    </row>
    <row r="2251" spans="1:3" ht="15.5" x14ac:dyDescent="0.35">
      <c r="A2251" s="2"/>
      <c r="B2251" s="156"/>
      <c r="C2251" s="32"/>
    </row>
    <row r="2252" spans="1:3" ht="15.5" x14ac:dyDescent="0.35">
      <c r="A2252" s="2"/>
      <c r="B2252" s="156"/>
      <c r="C2252" s="32"/>
    </row>
    <row r="2253" spans="1:3" ht="15.5" x14ac:dyDescent="0.35">
      <c r="A2253" s="2"/>
      <c r="B2253" s="156"/>
      <c r="C2253" s="32"/>
    </row>
    <row r="2254" spans="1:3" ht="15.5" x14ac:dyDescent="0.35">
      <c r="A2254" s="2"/>
      <c r="B2254" s="156"/>
      <c r="C2254" s="32"/>
    </row>
    <row r="2255" spans="1:3" ht="15.5" x14ac:dyDescent="0.35">
      <c r="A2255" s="2"/>
      <c r="B2255" s="156"/>
      <c r="C2255" s="32"/>
    </row>
    <row r="2256" spans="1:3" ht="15.5" x14ac:dyDescent="0.35">
      <c r="A2256" s="2"/>
      <c r="B2256" s="156"/>
      <c r="C2256" s="32"/>
    </row>
    <row r="2257" spans="1:3" ht="15.5" x14ac:dyDescent="0.35">
      <c r="A2257" s="2"/>
      <c r="B2257" s="156"/>
      <c r="C2257" s="32"/>
    </row>
    <row r="2258" spans="1:3" ht="15.5" x14ac:dyDescent="0.35">
      <c r="A2258" s="2"/>
      <c r="B2258" s="156"/>
      <c r="C2258" s="32"/>
    </row>
    <row r="2259" spans="1:3" ht="15.5" x14ac:dyDescent="0.35">
      <c r="A2259" s="2"/>
      <c r="B2259" s="156"/>
      <c r="C2259" s="32"/>
    </row>
    <row r="2260" spans="1:3" ht="15.5" x14ac:dyDescent="0.35">
      <c r="A2260" s="2"/>
      <c r="B2260" s="156"/>
      <c r="C2260" s="32"/>
    </row>
    <row r="2261" spans="1:3" ht="15.5" x14ac:dyDescent="0.35">
      <c r="A2261" s="2"/>
      <c r="B2261" s="156"/>
      <c r="C2261" s="32"/>
    </row>
    <row r="2262" spans="1:3" ht="15.5" x14ac:dyDescent="0.35">
      <c r="A2262" s="2"/>
      <c r="B2262" s="156"/>
      <c r="C2262" s="32"/>
    </row>
    <row r="2263" spans="1:3" ht="15.5" x14ac:dyDescent="0.35">
      <c r="A2263" s="2"/>
      <c r="B2263" s="156"/>
      <c r="C2263" s="32"/>
    </row>
    <row r="2264" spans="1:3" ht="15.5" x14ac:dyDescent="0.35">
      <c r="A2264" s="2"/>
      <c r="B2264" s="156"/>
      <c r="C2264" s="32"/>
    </row>
    <row r="2265" spans="1:3" ht="15.5" x14ac:dyDescent="0.35">
      <c r="A2265" s="2"/>
      <c r="B2265" s="156"/>
      <c r="C2265" s="32"/>
    </row>
    <row r="2266" spans="1:3" ht="15.5" x14ac:dyDescent="0.35">
      <c r="A2266" s="2"/>
      <c r="B2266" s="156"/>
      <c r="C2266" s="32"/>
    </row>
    <row r="2267" spans="1:3" ht="15.5" x14ac:dyDescent="0.35">
      <c r="A2267" s="2"/>
      <c r="B2267" s="156"/>
      <c r="C2267" s="32"/>
    </row>
    <row r="2268" spans="1:3" ht="15.5" x14ac:dyDescent="0.35">
      <c r="A2268" s="2"/>
      <c r="B2268" s="156"/>
      <c r="C2268" s="32"/>
    </row>
    <row r="2269" spans="1:3" ht="15.5" x14ac:dyDescent="0.35">
      <c r="A2269" s="2"/>
      <c r="B2269" s="156"/>
      <c r="C2269" s="32"/>
    </row>
    <row r="2270" spans="1:3" ht="15.5" x14ac:dyDescent="0.35">
      <c r="A2270" s="2"/>
      <c r="B2270" s="156"/>
      <c r="C2270" s="32"/>
    </row>
    <row r="2271" spans="1:3" ht="15.5" x14ac:dyDescent="0.35">
      <c r="A2271" s="2"/>
      <c r="B2271" s="156"/>
      <c r="C2271" s="32"/>
    </row>
    <row r="2272" spans="1:3" ht="15.5" x14ac:dyDescent="0.35">
      <c r="A2272" s="2"/>
      <c r="B2272" s="156"/>
      <c r="C2272" s="32"/>
    </row>
    <row r="2273" spans="1:3" ht="15.5" x14ac:dyDescent="0.35">
      <c r="A2273" s="2"/>
      <c r="B2273" s="156"/>
      <c r="C2273" s="32"/>
    </row>
    <row r="2274" spans="1:3" ht="15.5" x14ac:dyDescent="0.35">
      <c r="A2274" s="2"/>
      <c r="B2274" s="156"/>
      <c r="C2274" s="32"/>
    </row>
    <row r="2275" spans="1:3" ht="15.5" x14ac:dyDescent="0.35">
      <c r="A2275" s="2"/>
      <c r="B2275" s="156"/>
      <c r="C2275" s="32"/>
    </row>
    <row r="2276" spans="1:3" ht="15.5" x14ac:dyDescent="0.35">
      <c r="A2276" s="2"/>
      <c r="B2276" s="156"/>
      <c r="C2276" s="32"/>
    </row>
    <row r="2277" spans="1:3" ht="15.5" x14ac:dyDescent="0.35">
      <c r="A2277" s="2"/>
      <c r="B2277" s="156"/>
      <c r="C2277" s="32"/>
    </row>
    <row r="2278" spans="1:3" ht="15.5" x14ac:dyDescent="0.35">
      <c r="A2278" s="2"/>
      <c r="B2278" s="156"/>
      <c r="C2278" s="32"/>
    </row>
    <row r="2279" spans="1:3" ht="15.5" x14ac:dyDescent="0.35">
      <c r="A2279" s="2"/>
      <c r="B2279" s="156"/>
      <c r="C2279" s="32"/>
    </row>
    <row r="2280" spans="1:3" ht="15.5" x14ac:dyDescent="0.35">
      <c r="A2280" s="2"/>
      <c r="B2280" s="156"/>
      <c r="C2280" s="32"/>
    </row>
    <row r="2281" spans="1:3" ht="15.5" x14ac:dyDescent="0.35">
      <c r="A2281" s="2"/>
      <c r="B2281" s="156"/>
      <c r="C2281" s="32"/>
    </row>
    <row r="2282" spans="1:3" ht="15.5" x14ac:dyDescent="0.35">
      <c r="A2282" s="2"/>
      <c r="B2282" s="156"/>
      <c r="C2282" s="32"/>
    </row>
    <row r="2283" spans="1:3" ht="15.5" x14ac:dyDescent="0.35">
      <c r="A2283" s="2"/>
      <c r="B2283" s="156"/>
      <c r="C2283" s="32"/>
    </row>
    <row r="2284" spans="1:3" ht="15.5" x14ac:dyDescent="0.35">
      <c r="A2284" s="2"/>
      <c r="B2284" s="156"/>
      <c r="C2284" s="32"/>
    </row>
    <row r="2285" spans="1:3" ht="15.5" x14ac:dyDescent="0.35">
      <c r="A2285" s="2"/>
      <c r="B2285" s="156"/>
      <c r="C2285" s="32"/>
    </row>
    <row r="2286" spans="1:3" ht="15.5" x14ac:dyDescent="0.35">
      <c r="A2286" s="2"/>
      <c r="B2286" s="156"/>
      <c r="C2286" s="32"/>
    </row>
    <row r="2287" spans="1:3" ht="15.5" x14ac:dyDescent="0.35">
      <c r="A2287" s="2"/>
      <c r="B2287" s="156"/>
      <c r="C2287" s="32"/>
    </row>
    <row r="2288" spans="1:3" ht="15.5" x14ac:dyDescent="0.35">
      <c r="A2288" s="2"/>
      <c r="B2288" s="156"/>
      <c r="C2288" s="32"/>
    </row>
    <row r="2289" spans="1:3" ht="15.5" x14ac:dyDescent="0.35">
      <c r="A2289" s="2"/>
      <c r="B2289" s="156"/>
      <c r="C2289" s="32"/>
    </row>
    <row r="2290" spans="1:3" ht="15.5" x14ac:dyDescent="0.35">
      <c r="A2290" s="2"/>
      <c r="B2290" s="156"/>
      <c r="C2290" s="32"/>
    </row>
    <row r="2291" spans="1:3" ht="15.5" x14ac:dyDescent="0.35">
      <c r="A2291" s="2"/>
      <c r="B2291" s="156"/>
      <c r="C2291" s="32"/>
    </row>
    <row r="2292" spans="1:3" ht="15.5" x14ac:dyDescent="0.35">
      <c r="A2292" s="2"/>
      <c r="B2292" s="156"/>
      <c r="C2292" s="32"/>
    </row>
    <row r="2293" spans="1:3" ht="15.5" x14ac:dyDescent="0.35">
      <c r="A2293" s="2"/>
      <c r="B2293" s="156"/>
      <c r="C2293" s="32"/>
    </row>
    <row r="2294" spans="1:3" ht="15.5" x14ac:dyDescent="0.35">
      <c r="A2294" s="2"/>
      <c r="B2294" s="156"/>
      <c r="C2294" s="32"/>
    </row>
    <row r="2295" spans="1:3" ht="15.5" x14ac:dyDescent="0.35">
      <c r="A2295" s="2"/>
      <c r="B2295" s="156"/>
      <c r="C2295" s="32"/>
    </row>
    <row r="2296" spans="1:3" ht="15.5" x14ac:dyDescent="0.35">
      <c r="A2296" s="2"/>
      <c r="B2296" s="156"/>
      <c r="C2296" s="32"/>
    </row>
    <row r="2297" spans="1:3" ht="15.5" x14ac:dyDescent="0.35">
      <c r="A2297" s="2"/>
      <c r="B2297" s="156"/>
      <c r="C2297" s="32"/>
    </row>
    <row r="2298" spans="1:3" ht="15.5" x14ac:dyDescent="0.35">
      <c r="A2298" s="2"/>
      <c r="B2298" s="156"/>
      <c r="C2298" s="32"/>
    </row>
    <row r="2299" spans="1:3" ht="15.5" x14ac:dyDescent="0.35">
      <c r="A2299" s="2"/>
      <c r="B2299" s="156"/>
      <c r="C2299" s="32"/>
    </row>
    <row r="2300" spans="1:3" ht="15.5" x14ac:dyDescent="0.35">
      <c r="A2300" s="2"/>
      <c r="B2300" s="156"/>
      <c r="C2300" s="32"/>
    </row>
    <row r="2301" spans="1:3" ht="15.5" x14ac:dyDescent="0.35">
      <c r="A2301" s="2"/>
      <c r="B2301" s="156"/>
      <c r="C2301" s="32"/>
    </row>
    <row r="2302" spans="1:3" ht="15.5" x14ac:dyDescent="0.35">
      <c r="A2302" s="2"/>
      <c r="B2302" s="156"/>
      <c r="C2302" s="32"/>
    </row>
    <row r="2303" spans="1:3" ht="15.5" x14ac:dyDescent="0.35">
      <c r="A2303" s="2"/>
      <c r="B2303" s="156"/>
      <c r="C2303" s="32"/>
    </row>
    <row r="2304" spans="1:3" ht="15.5" x14ac:dyDescent="0.35">
      <c r="A2304" s="2"/>
      <c r="B2304" s="156"/>
      <c r="C2304" s="32"/>
    </row>
    <row r="2305" spans="1:3" ht="15.5" x14ac:dyDescent="0.35">
      <c r="A2305" s="2"/>
      <c r="B2305" s="156"/>
      <c r="C2305" s="32"/>
    </row>
    <row r="2306" spans="1:3" ht="15.5" x14ac:dyDescent="0.35">
      <c r="A2306" s="2"/>
      <c r="B2306" s="156"/>
      <c r="C2306" s="32"/>
    </row>
    <row r="2307" spans="1:3" ht="15.5" x14ac:dyDescent="0.35">
      <c r="A2307" s="2"/>
      <c r="B2307" s="156"/>
      <c r="C2307" s="32"/>
    </row>
    <row r="2308" spans="1:3" ht="15.5" x14ac:dyDescent="0.35">
      <c r="A2308" s="2"/>
      <c r="B2308" s="156"/>
      <c r="C2308" s="32"/>
    </row>
    <row r="2309" spans="1:3" ht="15.5" x14ac:dyDescent="0.35">
      <c r="A2309" s="2"/>
      <c r="B2309" s="156"/>
      <c r="C2309" s="32"/>
    </row>
    <row r="2310" spans="1:3" ht="15.5" x14ac:dyDescent="0.35">
      <c r="A2310" s="2"/>
      <c r="B2310" s="156"/>
      <c r="C2310" s="32"/>
    </row>
    <row r="2311" spans="1:3" ht="15.5" x14ac:dyDescent="0.35">
      <c r="A2311" s="2"/>
      <c r="B2311" s="156"/>
      <c r="C2311" s="32"/>
    </row>
    <row r="2312" spans="1:3" ht="15.5" x14ac:dyDescent="0.35">
      <c r="A2312" s="2"/>
      <c r="B2312" s="156"/>
      <c r="C2312" s="32"/>
    </row>
    <row r="2313" spans="1:3" ht="15.5" x14ac:dyDescent="0.35">
      <c r="A2313" s="2"/>
      <c r="B2313" s="156"/>
      <c r="C2313" s="32"/>
    </row>
    <row r="2314" spans="1:3" ht="15.5" x14ac:dyDescent="0.35">
      <c r="A2314" s="2"/>
      <c r="B2314" s="156"/>
      <c r="C2314" s="32"/>
    </row>
    <row r="2315" spans="1:3" ht="15.5" x14ac:dyDescent="0.35">
      <c r="A2315" s="2"/>
      <c r="B2315" s="156"/>
      <c r="C2315" s="32"/>
    </row>
    <row r="2316" spans="1:3" ht="15.5" x14ac:dyDescent="0.35">
      <c r="A2316" s="2"/>
      <c r="B2316" s="156"/>
      <c r="C2316" s="32"/>
    </row>
    <row r="2317" spans="1:3" ht="15.5" x14ac:dyDescent="0.35">
      <c r="A2317" s="2"/>
      <c r="B2317" s="156"/>
      <c r="C2317" s="32"/>
    </row>
    <row r="2318" spans="1:3" ht="15.5" x14ac:dyDescent="0.35">
      <c r="A2318" s="2"/>
      <c r="B2318" s="156"/>
      <c r="C2318" s="32"/>
    </row>
    <row r="2319" spans="1:3" ht="15.5" x14ac:dyDescent="0.35">
      <c r="A2319" s="2"/>
      <c r="B2319" s="156"/>
      <c r="C2319" s="32"/>
    </row>
    <row r="2320" spans="1:3" ht="15.5" x14ac:dyDescent="0.35">
      <c r="A2320" s="2"/>
      <c r="B2320" s="156"/>
      <c r="C2320" s="32"/>
    </row>
    <row r="2321" spans="1:3" ht="15.5" x14ac:dyDescent="0.35">
      <c r="A2321" s="2"/>
      <c r="B2321" s="156"/>
      <c r="C2321" s="32"/>
    </row>
    <row r="2322" spans="1:3" ht="15.5" x14ac:dyDescent="0.35">
      <c r="A2322" s="2"/>
      <c r="B2322" s="156"/>
      <c r="C2322" s="32"/>
    </row>
    <row r="2323" spans="1:3" ht="15.5" x14ac:dyDescent="0.35">
      <c r="A2323" s="2"/>
      <c r="B2323" s="156"/>
      <c r="C2323" s="32"/>
    </row>
    <row r="2324" spans="1:3" ht="15.5" x14ac:dyDescent="0.35">
      <c r="A2324" s="2"/>
      <c r="B2324" s="156"/>
      <c r="C2324" s="32"/>
    </row>
    <row r="2325" spans="1:3" ht="15.5" x14ac:dyDescent="0.35">
      <c r="A2325" s="2"/>
      <c r="B2325" s="156"/>
      <c r="C2325" s="32"/>
    </row>
    <row r="2326" spans="1:3" ht="15.5" x14ac:dyDescent="0.35">
      <c r="A2326" s="2"/>
      <c r="B2326" s="156"/>
      <c r="C2326" s="32"/>
    </row>
    <row r="2327" spans="1:3" ht="15.5" x14ac:dyDescent="0.35">
      <c r="A2327" s="2"/>
      <c r="B2327" s="156"/>
      <c r="C2327" s="32"/>
    </row>
    <row r="2328" spans="1:3" ht="15.5" x14ac:dyDescent="0.35">
      <c r="A2328" s="2"/>
      <c r="B2328" s="156"/>
      <c r="C2328" s="32"/>
    </row>
    <row r="2329" spans="1:3" ht="15.5" x14ac:dyDescent="0.35">
      <c r="A2329" s="2"/>
      <c r="B2329" s="156"/>
      <c r="C2329" s="32"/>
    </row>
    <row r="2330" spans="1:3" ht="15.5" x14ac:dyDescent="0.35">
      <c r="A2330" s="2"/>
      <c r="B2330" s="156"/>
      <c r="C2330" s="32"/>
    </row>
    <row r="2331" spans="1:3" ht="15.5" x14ac:dyDescent="0.35">
      <c r="A2331" s="2"/>
      <c r="B2331" s="156"/>
      <c r="C2331" s="32"/>
    </row>
    <row r="2332" spans="1:3" ht="15.5" x14ac:dyDescent="0.35">
      <c r="A2332" s="2"/>
      <c r="B2332" s="156"/>
      <c r="C2332" s="32"/>
    </row>
    <row r="2333" spans="1:3" ht="15.5" x14ac:dyDescent="0.35">
      <c r="A2333" s="2"/>
      <c r="B2333" s="156"/>
      <c r="C2333" s="32"/>
    </row>
    <row r="2334" spans="1:3" ht="15.5" x14ac:dyDescent="0.35">
      <c r="A2334" s="2"/>
      <c r="B2334" s="156"/>
      <c r="C2334" s="32"/>
    </row>
    <row r="2335" spans="1:3" ht="15.5" x14ac:dyDescent="0.35">
      <c r="A2335" s="2"/>
      <c r="B2335" s="156"/>
      <c r="C2335" s="32"/>
    </row>
    <row r="2336" spans="1:3" ht="15.5" x14ac:dyDescent="0.35">
      <c r="A2336" s="2"/>
      <c r="B2336" s="156"/>
      <c r="C2336" s="32"/>
    </row>
    <row r="2337" spans="1:3" ht="15.5" x14ac:dyDescent="0.35">
      <c r="A2337" s="2"/>
      <c r="B2337" s="156"/>
      <c r="C2337" s="32"/>
    </row>
    <row r="2338" spans="1:3" ht="15.5" x14ac:dyDescent="0.35">
      <c r="A2338" s="2"/>
      <c r="B2338" s="156"/>
      <c r="C2338" s="32"/>
    </row>
    <row r="2339" spans="1:3" ht="15.5" x14ac:dyDescent="0.35">
      <c r="A2339" s="2"/>
      <c r="B2339" s="156"/>
      <c r="C2339" s="32"/>
    </row>
    <row r="2340" spans="1:3" ht="15.5" x14ac:dyDescent="0.35">
      <c r="A2340" s="2"/>
      <c r="B2340" s="156"/>
      <c r="C2340" s="32"/>
    </row>
    <row r="2341" spans="1:3" ht="15.5" x14ac:dyDescent="0.35">
      <c r="A2341" s="2"/>
      <c r="B2341" s="156"/>
      <c r="C2341" s="32"/>
    </row>
    <row r="2342" spans="1:3" ht="15.5" x14ac:dyDescent="0.35">
      <c r="A2342" s="2"/>
      <c r="B2342" s="156"/>
      <c r="C2342" s="32"/>
    </row>
    <row r="2343" spans="1:3" ht="15.5" x14ac:dyDescent="0.35">
      <c r="A2343" s="2"/>
      <c r="B2343" s="156"/>
      <c r="C2343" s="32"/>
    </row>
    <row r="2344" spans="1:3" ht="15.5" x14ac:dyDescent="0.35">
      <c r="A2344" s="2"/>
      <c r="B2344" s="156"/>
      <c r="C2344" s="32"/>
    </row>
    <row r="2345" spans="1:3" ht="15.5" x14ac:dyDescent="0.35">
      <c r="A2345" s="2"/>
      <c r="B2345" s="156"/>
      <c r="C2345" s="32"/>
    </row>
    <row r="2346" spans="1:3" ht="15.5" x14ac:dyDescent="0.35">
      <c r="A2346" s="2"/>
      <c r="B2346" s="156"/>
      <c r="C2346" s="32"/>
    </row>
    <row r="2347" spans="1:3" ht="15.5" x14ac:dyDescent="0.35">
      <c r="A2347" s="2"/>
      <c r="B2347" s="156"/>
      <c r="C2347" s="32"/>
    </row>
    <row r="2348" spans="1:3" ht="15.5" x14ac:dyDescent="0.35">
      <c r="A2348" s="2"/>
      <c r="B2348" s="156"/>
      <c r="C2348" s="32"/>
    </row>
    <row r="2349" spans="1:3" ht="15.5" x14ac:dyDescent="0.35">
      <c r="A2349" s="2"/>
      <c r="B2349" s="156"/>
      <c r="C2349" s="32"/>
    </row>
    <row r="2350" spans="1:3" ht="15.5" x14ac:dyDescent="0.35">
      <c r="A2350" s="2"/>
      <c r="B2350" s="156"/>
      <c r="C2350" s="32"/>
    </row>
    <row r="2351" spans="1:3" ht="15.5" x14ac:dyDescent="0.35">
      <c r="A2351" s="2"/>
      <c r="B2351" s="156"/>
      <c r="C2351" s="32"/>
    </row>
    <row r="2352" spans="1:3" ht="15.5" x14ac:dyDescent="0.35">
      <c r="A2352" s="2"/>
      <c r="B2352" s="156"/>
      <c r="C2352" s="32"/>
    </row>
    <row r="2353" spans="1:3" ht="15.5" x14ac:dyDescent="0.35">
      <c r="A2353" s="2"/>
      <c r="B2353" s="156"/>
      <c r="C2353" s="32"/>
    </row>
    <row r="2354" spans="1:3" ht="15.5" x14ac:dyDescent="0.35">
      <c r="A2354" s="2"/>
      <c r="B2354" s="156"/>
      <c r="C2354" s="32"/>
    </row>
    <row r="2355" spans="1:3" ht="15.5" x14ac:dyDescent="0.35">
      <c r="A2355" s="2"/>
      <c r="B2355" s="156"/>
      <c r="C2355" s="32"/>
    </row>
    <row r="2356" spans="1:3" ht="15.5" x14ac:dyDescent="0.35">
      <c r="A2356" s="2"/>
      <c r="B2356" s="156"/>
      <c r="C2356" s="32"/>
    </row>
    <row r="2357" spans="1:3" ht="15.5" x14ac:dyDescent="0.35">
      <c r="A2357" s="2"/>
      <c r="B2357" s="156"/>
      <c r="C2357" s="32"/>
    </row>
    <row r="2358" spans="1:3" ht="15.5" x14ac:dyDescent="0.35">
      <c r="A2358" s="2"/>
      <c r="B2358" s="156"/>
      <c r="C2358" s="32"/>
    </row>
    <row r="2359" spans="1:3" ht="15.5" x14ac:dyDescent="0.35">
      <c r="A2359" s="2"/>
      <c r="B2359" s="156"/>
      <c r="C2359" s="32"/>
    </row>
    <row r="2360" spans="1:3" ht="15.5" x14ac:dyDescent="0.35">
      <c r="A2360" s="2"/>
      <c r="B2360" s="156"/>
      <c r="C2360" s="32"/>
    </row>
    <row r="2361" spans="1:3" ht="15.5" x14ac:dyDescent="0.35">
      <c r="A2361" s="2"/>
      <c r="B2361" s="156"/>
      <c r="C2361" s="32"/>
    </row>
    <row r="2362" spans="1:3" ht="15.5" x14ac:dyDescent="0.35">
      <c r="A2362" s="2"/>
      <c r="B2362" s="156"/>
      <c r="C2362" s="32"/>
    </row>
    <row r="2363" spans="1:3" ht="15.5" x14ac:dyDescent="0.35">
      <c r="A2363" s="2"/>
      <c r="B2363" s="156"/>
      <c r="C2363" s="32"/>
    </row>
    <row r="2364" spans="1:3" ht="15.5" x14ac:dyDescent="0.35">
      <c r="A2364" s="2"/>
      <c r="B2364" s="156"/>
      <c r="C2364" s="32"/>
    </row>
    <row r="2365" spans="1:3" ht="15.5" x14ac:dyDescent="0.35">
      <c r="A2365" s="2"/>
      <c r="B2365" s="156"/>
      <c r="C2365" s="32"/>
    </row>
    <row r="2366" spans="1:3" ht="15.5" x14ac:dyDescent="0.35">
      <c r="A2366" s="2"/>
      <c r="B2366" s="156"/>
      <c r="C2366" s="32"/>
    </row>
    <row r="2367" spans="1:3" ht="15.5" x14ac:dyDescent="0.35">
      <c r="A2367" s="2"/>
      <c r="B2367" s="156"/>
      <c r="C2367" s="32"/>
    </row>
    <row r="2368" spans="1:3" ht="15.5" x14ac:dyDescent="0.35">
      <c r="A2368" s="2"/>
      <c r="B2368" s="156"/>
      <c r="C2368" s="32"/>
    </row>
    <row r="2369" spans="1:3" ht="15.5" x14ac:dyDescent="0.35">
      <c r="A2369" s="2"/>
      <c r="B2369" s="156"/>
      <c r="C2369" s="32"/>
    </row>
    <row r="2370" spans="1:3" ht="15.5" x14ac:dyDescent="0.35">
      <c r="A2370" s="2"/>
      <c r="B2370" s="156"/>
      <c r="C2370" s="32"/>
    </row>
    <row r="2371" spans="1:3" ht="15.5" x14ac:dyDescent="0.35">
      <c r="A2371" s="2"/>
      <c r="B2371" s="156"/>
      <c r="C2371" s="32"/>
    </row>
    <row r="2372" spans="1:3" ht="15.5" x14ac:dyDescent="0.35">
      <c r="A2372" s="2"/>
      <c r="B2372" s="156"/>
      <c r="C2372" s="32"/>
    </row>
    <row r="2373" spans="1:3" ht="15.5" x14ac:dyDescent="0.35">
      <c r="A2373" s="2"/>
      <c r="B2373" s="156"/>
      <c r="C2373" s="32"/>
    </row>
    <row r="2374" spans="1:3" ht="15.5" x14ac:dyDescent="0.35">
      <c r="A2374" s="2"/>
      <c r="B2374" s="156"/>
      <c r="C2374" s="32"/>
    </row>
    <row r="2375" spans="1:3" ht="15.5" x14ac:dyDescent="0.35">
      <c r="A2375" s="2"/>
      <c r="B2375" s="156"/>
      <c r="C2375" s="32"/>
    </row>
    <row r="2376" spans="1:3" ht="15.5" x14ac:dyDescent="0.35">
      <c r="A2376" s="2"/>
      <c r="B2376" s="156"/>
      <c r="C2376" s="32"/>
    </row>
    <row r="2377" spans="1:3" ht="15.5" x14ac:dyDescent="0.35">
      <c r="A2377" s="2"/>
      <c r="B2377" s="156"/>
      <c r="C2377" s="32"/>
    </row>
    <row r="2378" spans="1:3" ht="15.5" x14ac:dyDescent="0.35">
      <c r="A2378" s="2"/>
      <c r="B2378" s="156"/>
      <c r="C2378" s="32"/>
    </row>
    <row r="2379" spans="1:3" ht="15.5" x14ac:dyDescent="0.35">
      <c r="A2379" s="2"/>
      <c r="B2379" s="156"/>
      <c r="C2379" s="32"/>
    </row>
    <row r="2380" spans="1:3" ht="15.5" x14ac:dyDescent="0.35">
      <c r="A2380" s="2"/>
      <c r="B2380" s="156"/>
      <c r="C2380" s="32"/>
    </row>
    <row r="2381" spans="1:3" ht="15.5" x14ac:dyDescent="0.35">
      <c r="A2381" s="2"/>
      <c r="B2381" s="156"/>
      <c r="C2381" s="32"/>
    </row>
    <row r="2382" spans="1:3" ht="15.5" x14ac:dyDescent="0.35">
      <c r="A2382" s="2"/>
      <c r="B2382" s="156"/>
      <c r="C2382" s="32"/>
    </row>
    <row r="2383" spans="1:3" ht="15.5" x14ac:dyDescent="0.35">
      <c r="A2383" s="2"/>
      <c r="B2383" s="156"/>
      <c r="C2383" s="32"/>
    </row>
    <row r="2384" spans="1:3" ht="15.5" x14ac:dyDescent="0.35">
      <c r="A2384" s="2"/>
      <c r="B2384" s="156"/>
      <c r="C2384" s="32"/>
    </row>
    <row r="2385" spans="1:3" ht="15.5" x14ac:dyDescent="0.35">
      <c r="A2385" s="2"/>
      <c r="B2385" s="156"/>
      <c r="C2385" s="32"/>
    </row>
    <row r="2386" spans="1:3" ht="15.5" x14ac:dyDescent="0.35">
      <c r="A2386" s="2"/>
      <c r="B2386" s="156"/>
      <c r="C2386" s="32"/>
    </row>
    <row r="2387" spans="1:3" ht="15.5" x14ac:dyDescent="0.35">
      <c r="A2387" s="2"/>
      <c r="B2387" s="156"/>
      <c r="C2387" s="32"/>
    </row>
    <row r="2388" spans="1:3" ht="15.5" x14ac:dyDescent="0.35">
      <c r="A2388" s="2"/>
      <c r="B2388" s="156"/>
      <c r="C2388" s="32"/>
    </row>
    <row r="2389" spans="1:3" ht="15.5" x14ac:dyDescent="0.35">
      <c r="A2389" s="2"/>
      <c r="B2389" s="156"/>
      <c r="C2389" s="32"/>
    </row>
    <row r="2390" spans="1:3" ht="15.5" x14ac:dyDescent="0.35">
      <c r="A2390" s="2"/>
      <c r="B2390" s="156"/>
      <c r="C2390" s="32"/>
    </row>
    <row r="2391" spans="1:3" ht="15.5" x14ac:dyDescent="0.35">
      <c r="A2391" s="2"/>
      <c r="B2391" s="156"/>
      <c r="C2391" s="32"/>
    </row>
    <row r="2392" spans="1:3" ht="15.5" x14ac:dyDescent="0.35">
      <c r="A2392" s="2"/>
      <c r="B2392" s="156"/>
      <c r="C2392" s="32"/>
    </row>
    <row r="2393" spans="1:3" ht="15.5" x14ac:dyDescent="0.35">
      <c r="A2393" s="2"/>
      <c r="B2393" s="156"/>
      <c r="C2393" s="32"/>
    </row>
    <row r="2394" spans="1:3" ht="15.5" x14ac:dyDescent="0.35">
      <c r="A2394" s="2"/>
      <c r="B2394" s="156"/>
      <c r="C2394" s="32"/>
    </row>
    <row r="2395" spans="1:3" ht="15.5" x14ac:dyDescent="0.35">
      <c r="A2395" s="2"/>
      <c r="B2395" s="156"/>
      <c r="C2395" s="32"/>
    </row>
    <row r="2396" spans="1:3" ht="15.5" x14ac:dyDescent="0.35">
      <c r="A2396" s="2"/>
      <c r="B2396" s="156"/>
      <c r="C2396" s="32"/>
    </row>
    <row r="2397" spans="1:3" ht="15.5" x14ac:dyDescent="0.35">
      <c r="A2397" s="2"/>
      <c r="B2397" s="156"/>
      <c r="C2397" s="32"/>
    </row>
    <row r="2398" spans="1:3" ht="15.5" x14ac:dyDescent="0.35">
      <c r="A2398" s="2"/>
      <c r="B2398" s="156"/>
      <c r="C2398" s="32"/>
    </row>
    <row r="2399" spans="1:3" ht="15.5" x14ac:dyDescent="0.35">
      <c r="A2399" s="2"/>
      <c r="B2399" s="156"/>
      <c r="C2399" s="32"/>
    </row>
    <row r="2400" spans="1:3" ht="15.5" x14ac:dyDescent="0.35">
      <c r="A2400" s="2"/>
      <c r="B2400" s="156"/>
      <c r="C2400" s="32"/>
    </row>
    <row r="2401" spans="1:3" ht="15.5" x14ac:dyDescent="0.35">
      <c r="A2401" s="2"/>
      <c r="B2401" s="156"/>
      <c r="C2401" s="32"/>
    </row>
    <row r="2402" spans="1:3" ht="15.5" x14ac:dyDescent="0.35">
      <c r="A2402" s="2"/>
      <c r="B2402" s="156"/>
      <c r="C2402" s="32"/>
    </row>
    <row r="2403" spans="1:3" ht="15.5" x14ac:dyDescent="0.35">
      <c r="A2403" s="2"/>
      <c r="B2403" s="156"/>
      <c r="C2403" s="32"/>
    </row>
    <row r="2404" spans="1:3" ht="15.5" x14ac:dyDescent="0.35">
      <c r="A2404" s="2"/>
      <c r="B2404" s="156"/>
      <c r="C2404" s="32"/>
    </row>
    <row r="2405" spans="1:3" ht="15.5" x14ac:dyDescent="0.35">
      <c r="A2405" s="2"/>
      <c r="B2405" s="156"/>
      <c r="C2405" s="32"/>
    </row>
    <row r="2406" spans="1:3" ht="15.5" x14ac:dyDescent="0.35">
      <c r="A2406" s="2"/>
      <c r="B2406" s="156"/>
      <c r="C2406" s="32"/>
    </row>
    <row r="2407" spans="1:3" ht="15.5" x14ac:dyDescent="0.35">
      <c r="A2407" s="2"/>
      <c r="B2407" s="156"/>
      <c r="C2407" s="32"/>
    </row>
    <row r="2408" spans="1:3" ht="15.5" x14ac:dyDescent="0.35">
      <c r="A2408" s="2"/>
      <c r="B2408" s="156"/>
      <c r="C2408" s="32"/>
    </row>
    <row r="2409" spans="1:3" ht="15.5" x14ac:dyDescent="0.35">
      <c r="A2409" s="2"/>
      <c r="B2409" s="156"/>
      <c r="C2409" s="32"/>
    </row>
    <row r="2410" spans="1:3" ht="15.5" x14ac:dyDescent="0.35">
      <c r="A2410" s="2"/>
      <c r="B2410" s="156"/>
      <c r="C2410" s="32"/>
    </row>
    <row r="2411" spans="1:3" ht="15.5" x14ac:dyDescent="0.35">
      <c r="A2411" s="2"/>
      <c r="B2411" s="156"/>
      <c r="C2411" s="32"/>
    </row>
    <row r="2412" spans="1:3" ht="15.5" x14ac:dyDescent="0.35">
      <c r="A2412" s="2"/>
      <c r="B2412" s="156"/>
      <c r="C2412" s="32"/>
    </row>
    <row r="2413" spans="1:3" ht="15.5" x14ac:dyDescent="0.35">
      <c r="A2413" s="2"/>
      <c r="B2413" s="156"/>
      <c r="C2413" s="32"/>
    </row>
    <row r="2414" spans="1:3" ht="15.5" x14ac:dyDescent="0.35">
      <c r="A2414" s="2"/>
      <c r="B2414" s="156"/>
      <c r="C2414" s="32"/>
    </row>
    <row r="2415" spans="1:3" ht="15.5" x14ac:dyDescent="0.35">
      <c r="A2415" s="2"/>
      <c r="B2415" s="156"/>
      <c r="C2415" s="32"/>
    </row>
    <row r="2416" spans="1:3" ht="15.5" x14ac:dyDescent="0.35">
      <c r="A2416" s="2"/>
      <c r="B2416" s="156"/>
      <c r="C2416" s="32"/>
    </row>
    <row r="2417" spans="1:3" ht="15.5" x14ac:dyDescent="0.35">
      <c r="A2417" s="2"/>
      <c r="B2417" s="156"/>
      <c r="C2417" s="32"/>
    </row>
    <row r="2418" spans="1:3" ht="15.5" x14ac:dyDescent="0.35">
      <c r="A2418" s="2"/>
      <c r="B2418" s="156"/>
      <c r="C2418" s="32"/>
    </row>
    <row r="2419" spans="1:3" ht="15.5" x14ac:dyDescent="0.35">
      <c r="A2419" s="2"/>
      <c r="B2419" s="156"/>
      <c r="C2419" s="32"/>
    </row>
    <row r="2420" spans="1:3" ht="15.5" x14ac:dyDescent="0.35">
      <c r="A2420" s="2"/>
      <c r="B2420" s="156"/>
      <c r="C2420" s="32"/>
    </row>
    <row r="2421" spans="1:3" ht="15.5" x14ac:dyDescent="0.35">
      <c r="A2421" s="2"/>
      <c r="B2421" s="156"/>
      <c r="C2421" s="32"/>
    </row>
    <row r="2422" spans="1:3" ht="15.5" x14ac:dyDescent="0.35">
      <c r="A2422" s="2"/>
      <c r="B2422" s="156"/>
      <c r="C2422" s="32"/>
    </row>
    <row r="2423" spans="1:3" ht="15.5" x14ac:dyDescent="0.35">
      <c r="A2423" s="2"/>
      <c r="B2423" s="156"/>
      <c r="C2423" s="32"/>
    </row>
    <row r="2424" spans="1:3" ht="15.5" x14ac:dyDescent="0.35">
      <c r="A2424" s="2"/>
      <c r="B2424" s="156"/>
      <c r="C2424" s="32"/>
    </row>
    <row r="2425" spans="1:3" ht="15.5" x14ac:dyDescent="0.35">
      <c r="A2425" s="2"/>
      <c r="B2425" s="156"/>
      <c r="C2425" s="32"/>
    </row>
    <row r="2426" spans="1:3" ht="15.5" x14ac:dyDescent="0.35">
      <c r="A2426" s="2"/>
      <c r="B2426" s="156"/>
      <c r="C2426" s="32"/>
    </row>
    <row r="2427" spans="1:3" ht="15.5" x14ac:dyDescent="0.35">
      <c r="A2427" s="2"/>
      <c r="B2427" s="156"/>
      <c r="C2427" s="32"/>
    </row>
    <row r="2428" spans="1:3" ht="15.5" x14ac:dyDescent="0.35">
      <c r="A2428" s="2"/>
      <c r="B2428" s="156"/>
      <c r="C2428" s="32"/>
    </row>
    <row r="2429" spans="1:3" ht="15.5" x14ac:dyDescent="0.35">
      <c r="A2429" s="2"/>
      <c r="B2429" s="156"/>
      <c r="C2429" s="32"/>
    </row>
    <row r="2430" spans="1:3" ht="15.5" x14ac:dyDescent="0.35">
      <c r="A2430" s="2"/>
      <c r="B2430" s="156"/>
      <c r="C2430" s="32"/>
    </row>
    <row r="2431" spans="1:3" ht="15.5" x14ac:dyDescent="0.35">
      <c r="A2431" s="2"/>
      <c r="B2431" s="156"/>
      <c r="C2431" s="32"/>
    </row>
    <row r="2432" spans="1:3" ht="15.5" x14ac:dyDescent="0.35">
      <c r="A2432" s="2"/>
      <c r="B2432" s="156"/>
      <c r="C2432" s="32"/>
    </row>
    <row r="2433" spans="1:3" ht="15.5" x14ac:dyDescent="0.35">
      <c r="A2433" s="2"/>
      <c r="B2433" s="156"/>
      <c r="C2433" s="32"/>
    </row>
    <row r="2434" spans="1:3" ht="15.5" x14ac:dyDescent="0.35">
      <c r="A2434" s="2"/>
      <c r="B2434" s="156"/>
      <c r="C2434" s="32"/>
    </row>
    <row r="2435" spans="1:3" ht="15.5" x14ac:dyDescent="0.35">
      <c r="A2435" s="2"/>
      <c r="B2435" s="156"/>
      <c r="C2435" s="32"/>
    </row>
    <row r="2436" spans="1:3" ht="15.5" x14ac:dyDescent="0.35">
      <c r="A2436" s="2"/>
      <c r="B2436" s="156"/>
      <c r="C2436" s="32"/>
    </row>
    <row r="2437" spans="1:3" ht="15.5" x14ac:dyDescent="0.35">
      <c r="A2437" s="2"/>
      <c r="B2437" s="156"/>
      <c r="C2437" s="32"/>
    </row>
    <row r="2438" spans="1:3" ht="15.5" x14ac:dyDescent="0.35">
      <c r="A2438" s="2"/>
      <c r="B2438" s="156"/>
      <c r="C2438" s="32"/>
    </row>
    <row r="2439" spans="1:3" ht="15.5" x14ac:dyDescent="0.35">
      <c r="A2439" s="2"/>
      <c r="B2439" s="156"/>
      <c r="C2439" s="32"/>
    </row>
    <row r="2440" spans="1:3" ht="15.5" x14ac:dyDescent="0.35">
      <c r="A2440" s="2"/>
      <c r="B2440" s="156"/>
      <c r="C2440" s="32"/>
    </row>
    <row r="2441" spans="1:3" ht="15.5" x14ac:dyDescent="0.35">
      <c r="A2441" s="2"/>
      <c r="B2441" s="156"/>
      <c r="C2441" s="32"/>
    </row>
    <row r="2442" spans="1:3" ht="15.5" x14ac:dyDescent="0.35">
      <c r="A2442" s="2"/>
      <c r="B2442" s="156"/>
      <c r="C2442" s="32"/>
    </row>
    <row r="2443" spans="1:3" ht="15.5" x14ac:dyDescent="0.35">
      <c r="A2443" s="2"/>
      <c r="B2443" s="156"/>
      <c r="C2443" s="32"/>
    </row>
    <row r="2444" spans="1:3" ht="15.5" x14ac:dyDescent="0.35">
      <c r="A2444" s="2"/>
      <c r="B2444" s="156"/>
      <c r="C2444" s="32"/>
    </row>
    <row r="2445" spans="1:3" ht="15.5" x14ac:dyDescent="0.35">
      <c r="A2445" s="2"/>
      <c r="B2445" s="156"/>
      <c r="C2445" s="32"/>
    </row>
    <row r="2446" spans="1:3" ht="15.5" x14ac:dyDescent="0.35">
      <c r="A2446" s="2"/>
      <c r="B2446" s="156"/>
      <c r="C2446" s="32"/>
    </row>
    <row r="2447" spans="1:3" ht="15.5" x14ac:dyDescent="0.35">
      <c r="A2447" s="2"/>
      <c r="B2447" s="156"/>
      <c r="C2447" s="32"/>
    </row>
    <row r="2448" spans="1:3" ht="15.5" x14ac:dyDescent="0.35">
      <c r="A2448" s="2"/>
      <c r="B2448" s="156"/>
      <c r="C2448" s="32"/>
    </row>
    <row r="2449" spans="1:3" ht="15.5" x14ac:dyDescent="0.35">
      <c r="A2449" s="2"/>
      <c r="B2449" s="156"/>
      <c r="C2449" s="32"/>
    </row>
    <row r="2450" spans="1:3" ht="15.5" x14ac:dyDescent="0.35">
      <c r="A2450" s="2"/>
      <c r="B2450" s="156"/>
      <c r="C2450" s="32"/>
    </row>
    <row r="2451" spans="1:3" ht="15.5" x14ac:dyDescent="0.35">
      <c r="A2451" s="2"/>
      <c r="B2451" s="156"/>
      <c r="C2451" s="32"/>
    </row>
    <row r="2452" spans="1:3" ht="15.5" x14ac:dyDescent="0.35">
      <c r="A2452" s="2"/>
      <c r="B2452" s="156"/>
      <c r="C2452" s="32"/>
    </row>
    <row r="2453" spans="1:3" ht="15.5" x14ac:dyDescent="0.35">
      <c r="A2453" s="2"/>
      <c r="B2453" s="156"/>
      <c r="C2453" s="32"/>
    </row>
    <row r="2454" spans="1:3" ht="15.5" x14ac:dyDescent="0.35">
      <c r="A2454" s="2"/>
      <c r="B2454" s="156"/>
      <c r="C2454" s="32"/>
    </row>
    <row r="2455" spans="1:3" ht="15.5" x14ac:dyDescent="0.35">
      <c r="A2455" s="2"/>
      <c r="B2455" s="156"/>
      <c r="C2455" s="32"/>
    </row>
    <row r="2456" spans="1:3" ht="15.5" x14ac:dyDescent="0.35">
      <c r="A2456" s="2"/>
      <c r="B2456" s="156"/>
      <c r="C2456" s="32"/>
    </row>
    <row r="2457" spans="1:3" ht="15.5" x14ac:dyDescent="0.35">
      <c r="A2457" s="2"/>
      <c r="B2457" s="156"/>
      <c r="C2457" s="32"/>
    </row>
    <row r="2458" spans="1:3" ht="15.5" x14ac:dyDescent="0.35">
      <c r="A2458" s="2"/>
      <c r="B2458" s="156"/>
      <c r="C2458" s="32"/>
    </row>
    <row r="2459" spans="1:3" ht="15.5" x14ac:dyDescent="0.35">
      <c r="A2459" s="2"/>
      <c r="B2459" s="156"/>
      <c r="C2459" s="32"/>
    </row>
    <row r="2460" spans="1:3" ht="15.5" x14ac:dyDescent="0.35">
      <c r="A2460" s="2"/>
      <c r="B2460" s="156"/>
      <c r="C2460" s="32"/>
    </row>
    <row r="2461" spans="1:3" ht="15.5" x14ac:dyDescent="0.35">
      <c r="A2461" s="2"/>
      <c r="B2461" s="156"/>
      <c r="C2461" s="32"/>
    </row>
    <row r="2462" spans="1:3" ht="15.5" x14ac:dyDescent="0.35">
      <c r="A2462" s="2"/>
      <c r="B2462" s="156"/>
      <c r="C2462" s="32"/>
    </row>
    <row r="2463" spans="1:3" ht="15.5" x14ac:dyDescent="0.35">
      <c r="A2463" s="2"/>
      <c r="B2463" s="156"/>
      <c r="C2463" s="32"/>
    </row>
    <row r="2464" spans="1:3" ht="15.5" x14ac:dyDescent="0.35">
      <c r="A2464" s="2"/>
      <c r="B2464" s="156"/>
      <c r="C2464" s="32"/>
    </row>
    <row r="2465" spans="1:3" ht="15.5" x14ac:dyDescent="0.35">
      <c r="A2465" s="2"/>
      <c r="B2465" s="156"/>
      <c r="C2465" s="32"/>
    </row>
    <row r="2466" spans="1:3" ht="15.5" x14ac:dyDescent="0.35">
      <c r="A2466" s="2"/>
      <c r="B2466" s="156"/>
      <c r="C2466" s="32"/>
    </row>
    <row r="2467" spans="1:3" ht="15.5" x14ac:dyDescent="0.35">
      <c r="A2467" s="2"/>
      <c r="B2467" s="156"/>
      <c r="C2467" s="32"/>
    </row>
    <row r="2468" spans="1:3" ht="15.5" x14ac:dyDescent="0.35">
      <c r="A2468" s="2"/>
      <c r="B2468" s="156"/>
      <c r="C2468" s="32"/>
    </row>
    <row r="2469" spans="1:3" ht="15.5" x14ac:dyDescent="0.35">
      <c r="A2469" s="2"/>
      <c r="B2469" s="156"/>
      <c r="C2469" s="32"/>
    </row>
    <row r="2470" spans="1:3" ht="15.5" x14ac:dyDescent="0.35">
      <c r="A2470" s="2"/>
      <c r="B2470" s="156"/>
      <c r="C2470" s="32"/>
    </row>
    <row r="2471" spans="1:3" ht="15.5" x14ac:dyDescent="0.35">
      <c r="A2471" s="2"/>
      <c r="B2471" s="156"/>
      <c r="C2471" s="32"/>
    </row>
    <row r="2472" spans="1:3" ht="15.5" x14ac:dyDescent="0.35">
      <c r="A2472" s="2"/>
      <c r="B2472" s="156"/>
      <c r="C2472" s="32"/>
    </row>
    <row r="2473" spans="1:3" ht="15.5" x14ac:dyDescent="0.35">
      <c r="A2473" s="2"/>
      <c r="B2473" s="156"/>
      <c r="C2473" s="32"/>
    </row>
    <row r="2474" spans="1:3" ht="15.5" x14ac:dyDescent="0.35">
      <c r="A2474" s="2"/>
      <c r="B2474" s="156"/>
      <c r="C2474" s="32"/>
    </row>
    <row r="2475" spans="1:3" ht="15.5" x14ac:dyDescent="0.35">
      <c r="A2475" s="2"/>
      <c r="B2475" s="156"/>
      <c r="C2475" s="32"/>
    </row>
    <row r="2476" spans="1:3" ht="15.5" x14ac:dyDescent="0.35">
      <c r="A2476" s="2"/>
      <c r="B2476" s="156"/>
      <c r="C2476" s="32"/>
    </row>
    <row r="2477" spans="1:3" ht="15.5" x14ac:dyDescent="0.35">
      <c r="A2477" s="2"/>
      <c r="B2477" s="156"/>
      <c r="C2477" s="32"/>
    </row>
    <row r="2478" spans="1:3" ht="15.5" x14ac:dyDescent="0.35">
      <c r="A2478" s="2"/>
      <c r="B2478" s="156"/>
      <c r="C2478" s="32"/>
    </row>
    <row r="2479" spans="1:3" ht="15.5" x14ac:dyDescent="0.35">
      <c r="A2479" s="2"/>
      <c r="B2479" s="156"/>
      <c r="C2479" s="32"/>
    </row>
    <row r="2480" spans="1:3" ht="15.5" x14ac:dyDescent="0.35">
      <c r="A2480" s="2"/>
      <c r="B2480" s="156"/>
      <c r="C2480" s="32"/>
    </row>
    <row r="2481" spans="1:3" ht="15.5" x14ac:dyDescent="0.35">
      <c r="A2481" s="2"/>
      <c r="B2481" s="156"/>
      <c r="C2481" s="32"/>
    </row>
    <row r="2482" spans="1:3" ht="15.5" x14ac:dyDescent="0.35">
      <c r="A2482" s="2"/>
      <c r="B2482" s="156"/>
      <c r="C2482" s="32"/>
    </row>
    <row r="2483" spans="1:3" ht="15.5" x14ac:dyDescent="0.35">
      <c r="A2483" s="2"/>
      <c r="B2483" s="156"/>
      <c r="C2483" s="32"/>
    </row>
    <row r="2484" spans="1:3" ht="15.5" x14ac:dyDescent="0.35">
      <c r="A2484" s="2"/>
      <c r="B2484" s="156"/>
      <c r="C2484" s="32"/>
    </row>
    <row r="2485" spans="1:3" ht="15.5" x14ac:dyDescent="0.35">
      <c r="A2485" s="2"/>
      <c r="B2485" s="156"/>
      <c r="C2485" s="32"/>
    </row>
    <row r="2486" spans="1:3" ht="15.5" x14ac:dyDescent="0.35">
      <c r="A2486" s="2"/>
      <c r="B2486" s="156"/>
      <c r="C2486" s="32"/>
    </row>
    <row r="2487" spans="1:3" ht="15.5" x14ac:dyDescent="0.35">
      <c r="A2487" s="2"/>
      <c r="B2487" s="156"/>
      <c r="C2487" s="32"/>
    </row>
    <row r="2488" spans="1:3" ht="15.5" x14ac:dyDescent="0.35">
      <c r="A2488" s="2"/>
      <c r="B2488" s="156"/>
      <c r="C2488" s="32"/>
    </row>
    <row r="2489" spans="1:3" ht="15.5" x14ac:dyDescent="0.35">
      <c r="A2489" s="2"/>
      <c r="B2489" s="156"/>
      <c r="C2489" s="32"/>
    </row>
    <row r="2490" spans="1:3" ht="15.5" x14ac:dyDescent="0.35">
      <c r="A2490" s="2"/>
      <c r="B2490" s="156"/>
      <c r="C2490" s="32"/>
    </row>
    <row r="2491" spans="1:3" ht="15.5" x14ac:dyDescent="0.35">
      <c r="A2491" s="2"/>
      <c r="B2491" s="156"/>
      <c r="C2491" s="32"/>
    </row>
    <row r="2492" spans="1:3" ht="15.5" x14ac:dyDescent="0.35">
      <c r="A2492" s="2"/>
      <c r="B2492" s="156"/>
      <c r="C2492" s="32"/>
    </row>
    <row r="2493" spans="1:3" ht="15.5" x14ac:dyDescent="0.35">
      <c r="A2493" s="2"/>
      <c r="B2493" s="156"/>
      <c r="C2493" s="32"/>
    </row>
    <row r="2494" spans="1:3" ht="15.5" x14ac:dyDescent="0.35">
      <c r="A2494" s="2"/>
      <c r="B2494" s="156"/>
      <c r="C2494" s="32"/>
    </row>
    <row r="2495" spans="1:3" ht="15.5" x14ac:dyDescent="0.35">
      <c r="A2495" s="2"/>
      <c r="B2495" s="156"/>
      <c r="C2495" s="32"/>
    </row>
    <row r="2496" spans="1:3" ht="15.5" x14ac:dyDescent="0.35">
      <c r="A2496" s="2"/>
      <c r="B2496" s="156"/>
      <c r="C2496" s="32"/>
    </row>
    <row r="2497" spans="1:3" ht="15.5" x14ac:dyDescent="0.35">
      <c r="A2497" s="2"/>
      <c r="B2497" s="156"/>
      <c r="C2497" s="32"/>
    </row>
    <row r="2498" spans="1:3" ht="15.5" x14ac:dyDescent="0.35">
      <c r="A2498" s="2"/>
      <c r="B2498" s="156"/>
      <c r="C2498" s="32"/>
    </row>
    <row r="2499" spans="1:3" ht="15.5" x14ac:dyDescent="0.35">
      <c r="A2499" s="2"/>
      <c r="B2499" s="156"/>
      <c r="C2499" s="32"/>
    </row>
    <row r="2500" spans="1:3" ht="15.5" x14ac:dyDescent="0.35">
      <c r="A2500" s="2"/>
      <c r="B2500" s="156"/>
      <c r="C2500" s="32"/>
    </row>
    <row r="2501" spans="1:3" ht="15.5" x14ac:dyDescent="0.35">
      <c r="A2501" s="2"/>
      <c r="B2501" s="156"/>
      <c r="C2501" s="32"/>
    </row>
    <row r="2502" spans="1:3" ht="15.5" x14ac:dyDescent="0.35">
      <c r="A2502" s="2"/>
      <c r="B2502" s="156"/>
      <c r="C2502" s="32"/>
    </row>
    <row r="2503" spans="1:3" ht="15.5" x14ac:dyDescent="0.35">
      <c r="A2503" s="2"/>
      <c r="B2503" s="156"/>
      <c r="C2503" s="32"/>
    </row>
    <row r="2504" spans="1:3" ht="15.5" x14ac:dyDescent="0.35">
      <c r="A2504" s="2"/>
      <c r="B2504" s="156"/>
      <c r="C2504" s="32"/>
    </row>
    <row r="2505" spans="1:3" ht="15.5" x14ac:dyDescent="0.35">
      <c r="A2505" s="2"/>
      <c r="B2505" s="156"/>
      <c r="C2505" s="32"/>
    </row>
    <row r="2506" spans="1:3" ht="15.5" x14ac:dyDescent="0.35">
      <c r="A2506" s="2"/>
      <c r="B2506" s="156"/>
      <c r="C2506" s="32"/>
    </row>
    <row r="2507" spans="1:3" ht="15.5" x14ac:dyDescent="0.35">
      <c r="A2507" s="2"/>
      <c r="B2507" s="156"/>
      <c r="C2507" s="32"/>
    </row>
    <row r="2508" spans="1:3" ht="15.5" x14ac:dyDescent="0.35">
      <c r="A2508" s="2"/>
      <c r="B2508" s="156"/>
      <c r="C2508" s="32"/>
    </row>
    <row r="2509" spans="1:3" ht="15.5" x14ac:dyDescent="0.35">
      <c r="A2509" s="2"/>
      <c r="B2509" s="156"/>
      <c r="C2509" s="32"/>
    </row>
    <row r="2510" spans="1:3" ht="15.5" x14ac:dyDescent="0.35">
      <c r="A2510" s="2"/>
      <c r="B2510" s="156"/>
      <c r="C2510" s="32"/>
    </row>
    <row r="2511" spans="1:3" ht="15.5" x14ac:dyDescent="0.35">
      <c r="A2511" s="2"/>
      <c r="B2511" s="156"/>
      <c r="C2511" s="32"/>
    </row>
    <row r="2512" spans="1:3" ht="15.5" x14ac:dyDescent="0.35">
      <c r="A2512" s="2"/>
      <c r="B2512" s="156"/>
      <c r="C2512" s="32"/>
    </row>
    <row r="2513" spans="1:3" ht="15.5" x14ac:dyDescent="0.35">
      <c r="A2513" s="2"/>
      <c r="B2513" s="156"/>
      <c r="C2513" s="32"/>
    </row>
    <row r="2514" spans="1:3" ht="15.5" x14ac:dyDescent="0.35">
      <c r="A2514" s="2"/>
      <c r="B2514" s="156"/>
      <c r="C2514" s="32"/>
    </row>
    <row r="2515" spans="1:3" ht="15.5" x14ac:dyDescent="0.35">
      <c r="A2515" s="2"/>
      <c r="B2515" s="156"/>
      <c r="C2515" s="32"/>
    </row>
    <row r="2516" spans="1:3" ht="15.5" x14ac:dyDescent="0.35">
      <c r="A2516" s="2"/>
      <c r="B2516" s="156"/>
      <c r="C2516" s="32"/>
    </row>
    <row r="2517" spans="1:3" ht="15.5" x14ac:dyDescent="0.35">
      <c r="A2517" s="2"/>
      <c r="B2517" s="156"/>
      <c r="C2517" s="32"/>
    </row>
    <row r="2518" spans="1:3" ht="15.5" x14ac:dyDescent="0.35">
      <c r="A2518" s="2"/>
      <c r="B2518" s="156"/>
      <c r="C2518" s="32"/>
    </row>
    <row r="2519" spans="1:3" ht="15.5" x14ac:dyDescent="0.35">
      <c r="A2519" s="2"/>
      <c r="B2519" s="156"/>
      <c r="C2519" s="32"/>
    </row>
    <row r="2520" spans="1:3" ht="15.5" x14ac:dyDescent="0.35">
      <c r="A2520" s="2"/>
      <c r="B2520" s="156"/>
      <c r="C2520" s="32"/>
    </row>
    <row r="2521" spans="1:3" ht="15.5" x14ac:dyDescent="0.35">
      <c r="A2521" s="2"/>
      <c r="B2521" s="156"/>
      <c r="C2521" s="32"/>
    </row>
    <row r="2522" spans="1:3" ht="15.5" x14ac:dyDescent="0.35">
      <c r="A2522" s="2"/>
      <c r="B2522" s="156"/>
      <c r="C2522" s="32"/>
    </row>
    <row r="2523" spans="1:3" ht="15.5" x14ac:dyDescent="0.35">
      <c r="A2523" s="2"/>
      <c r="B2523" s="156"/>
      <c r="C2523" s="32"/>
    </row>
    <row r="2524" spans="1:3" ht="15.5" x14ac:dyDescent="0.35">
      <c r="A2524" s="2"/>
      <c r="B2524" s="156"/>
      <c r="C2524" s="32"/>
    </row>
    <row r="2525" spans="1:3" ht="15.5" x14ac:dyDescent="0.35">
      <c r="A2525" s="2"/>
      <c r="B2525" s="156"/>
      <c r="C2525" s="32"/>
    </row>
    <row r="2526" spans="1:3" ht="15.5" x14ac:dyDescent="0.35">
      <c r="A2526" s="2"/>
      <c r="B2526" s="156"/>
      <c r="C2526" s="32"/>
    </row>
    <row r="2527" spans="1:3" ht="15.5" x14ac:dyDescent="0.35">
      <c r="A2527" s="2"/>
      <c r="B2527" s="156"/>
      <c r="C2527" s="32"/>
    </row>
    <row r="2528" spans="1:3" ht="15.5" x14ac:dyDescent="0.35">
      <c r="A2528" s="2"/>
      <c r="B2528" s="156"/>
      <c r="C2528" s="32"/>
    </row>
    <row r="2529" spans="1:3" ht="15.5" x14ac:dyDescent="0.35">
      <c r="A2529" s="2"/>
      <c r="B2529" s="156"/>
      <c r="C2529" s="32"/>
    </row>
    <row r="2530" spans="1:3" ht="15.5" x14ac:dyDescent="0.35">
      <c r="A2530" s="2"/>
      <c r="B2530" s="156"/>
      <c r="C2530" s="32"/>
    </row>
    <row r="2531" spans="1:3" ht="15.5" x14ac:dyDescent="0.35">
      <c r="A2531" s="2"/>
      <c r="B2531" s="156"/>
      <c r="C2531" s="32"/>
    </row>
    <row r="2532" spans="1:3" ht="15.5" x14ac:dyDescent="0.35">
      <c r="A2532" s="2"/>
      <c r="B2532" s="156"/>
      <c r="C2532" s="32"/>
    </row>
    <row r="2533" spans="1:3" ht="15.5" x14ac:dyDescent="0.35">
      <c r="A2533" s="2"/>
      <c r="B2533" s="156"/>
      <c r="C2533" s="32"/>
    </row>
    <row r="2534" spans="1:3" ht="15.5" x14ac:dyDescent="0.35">
      <c r="A2534" s="2"/>
      <c r="B2534" s="156"/>
      <c r="C2534" s="32"/>
    </row>
    <row r="2535" spans="1:3" ht="15.5" x14ac:dyDescent="0.35">
      <c r="A2535" s="2"/>
      <c r="B2535" s="156"/>
      <c r="C2535" s="32"/>
    </row>
    <row r="2536" spans="1:3" ht="15.5" x14ac:dyDescent="0.35">
      <c r="A2536" s="2"/>
      <c r="B2536" s="156"/>
      <c r="C2536" s="32"/>
    </row>
    <row r="2537" spans="1:3" ht="15.5" x14ac:dyDescent="0.35">
      <c r="A2537" s="2"/>
      <c r="B2537" s="156"/>
      <c r="C2537" s="32"/>
    </row>
    <row r="2538" spans="1:3" ht="15.5" x14ac:dyDescent="0.35">
      <c r="A2538" s="2"/>
      <c r="B2538" s="156"/>
      <c r="C2538" s="32"/>
    </row>
    <row r="2539" spans="1:3" ht="15.5" x14ac:dyDescent="0.35">
      <c r="A2539" s="2"/>
      <c r="B2539" s="156"/>
      <c r="C2539" s="32"/>
    </row>
    <row r="2540" spans="1:3" ht="15.5" x14ac:dyDescent="0.35">
      <c r="A2540" s="2"/>
      <c r="B2540" s="156"/>
      <c r="C2540" s="32"/>
    </row>
    <row r="2541" spans="1:3" ht="15.5" x14ac:dyDescent="0.35">
      <c r="A2541" s="2"/>
      <c r="B2541" s="156"/>
      <c r="C2541" s="32"/>
    </row>
    <row r="2542" spans="1:3" ht="15.5" x14ac:dyDescent="0.35">
      <c r="A2542" s="2"/>
      <c r="B2542" s="156"/>
      <c r="C2542" s="32"/>
    </row>
    <row r="2543" spans="1:3" ht="15.5" x14ac:dyDescent="0.35">
      <c r="A2543" s="2"/>
      <c r="B2543" s="156"/>
      <c r="C2543" s="32"/>
    </row>
    <row r="2544" spans="1:3" ht="15.5" x14ac:dyDescent="0.35">
      <c r="A2544" s="2"/>
      <c r="B2544" s="156"/>
      <c r="C2544" s="32"/>
    </row>
    <row r="2545" spans="1:3" ht="15.5" x14ac:dyDescent="0.35">
      <c r="A2545" s="2"/>
      <c r="B2545" s="156"/>
      <c r="C2545" s="32"/>
    </row>
    <row r="2546" spans="1:3" ht="15.5" x14ac:dyDescent="0.35">
      <c r="A2546" s="2"/>
      <c r="B2546" s="156"/>
      <c r="C2546" s="32"/>
    </row>
    <row r="2547" spans="1:3" ht="15.5" x14ac:dyDescent="0.35">
      <c r="A2547" s="2"/>
      <c r="B2547" s="156"/>
      <c r="C2547" s="32"/>
    </row>
    <row r="2548" spans="1:3" ht="15.5" x14ac:dyDescent="0.35">
      <c r="A2548" s="2"/>
      <c r="B2548" s="156"/>
      <c r="C2548" s="32"/>
    </row>
    <row r="2549" spans="1:3" ht="15.5" x14ac:dyDescent="0.35">
      <c r="A2549" s="2"/>
      <c r="B2549" s="156"/>
      <c r="C2549" s="32"/>
    </row>
    <row r="2550" spans="1:3" ht="15.5" x14ac:dyDescent="0.35">
      <c r="A2550" s="2"/>
      <c r="B2550" s="156"/>
      <c r="C2550" s="32"/>
    </row>
    <row r="2551" spans="1:3" ht="15.5" x14ac:dyDescent="0.35">
      <c r="A2551" s="2"/>
      <c r="B2551" s="156"/>
      <c r="C2551" s="32"/>
    </row>
    <row r="2552" spans="1:3" ht="15.5" x14ac:dyDescent="0.35">
      <c r="A2552" s="2"/>
      <c r="B2552" s="156"/>
      <c r="C2552" s="32"/>
    </row>
    <row r="2553" spans="1:3" ht="15.5" x14ac:dyDescent="0.35">
      <c r="A2553" s="2"/>
      <c r="B2553" s="156"/>
      <c r="C2553" s="32"/>
    </row>
    <row r="2554" spans="1:3" ht="15.5" x14ac:dyDescent="0.35">
      <c r="A2554" s="2"/>
      <c r="B2554" s="156"/>
      <c r="C2554" s="32"/>
    </row>
    <row r="2555" spans="1:3" ht="15.5" x14ac:dyDescent="0.35">
      <c r="A2555" s="2"/>
      <c r="B2555" s="156"/>
      <c r="C2555" s="32"/>
    </row>
    <row r="2556" spans="1:3" ht="15.5" x14ac:dyDescent="0.35">
      <c r="A2556" s="2"/>
      <c r="B2556" s="156"/>
      <c r="C2556" s="32"/>
    </row>
    <row r="2557" spans="1:3" ht="15.5" x14ac:dyDescent="0.35">
      <c r="A2557" s="2"/>
      <c r="B2557" s="156"/>
      <c r="C2557" s="32"/>
    </row>
    <row r="2558" spans="1:3" ht="15.5" x14ac:dyDescent="0.35">
      <c r="A2558" s="2"/>
      <c r="B2558" s="156"/>
      <c r="C2558" s="32"/>
    </row>
    <row r="2559" spans="1:3" ht="15.5" x14ac:dyDescent="0.35">
      <c r="A2559" s="2"/>
      <c r="B2559" s="156"/>
      <c r="C2559" s="32"/>
    </row>
    <row r="2560" spans="1:3" ht="15.5" x14ac:dyDescent="0.35">
      <c r="A2560" s="2"/>
      <c r="B2560" s="156"/>
      <c r="C2560" s="32"/>
    </row>
    <row r="2561" spans="1:3" ht="15.5" x14ac:dyDescent="0.35">
      <c r="A2561" s="2"/>
      <c r="B2561" s="156"/>
      <c r="C2561" s="32"/>
    </row>
    <row r="2562" spans="1:3" ht="15.5" x14ac:dyDescent="0.35">
      <c r="A2562" s="2"/>
      <c r="B2562" s="156"/>
      <c r="C2562" s="32"/>
    </row>
    <row r="2563" spans="1:3" ht="15.5" x14ac:dyDescent="0.35">
      <c r="A2563" s="2"/>
      <c r="B2563" s="156"/>
      <c r="C2563" s="32"/>
    </row>
    <row r="2564" spans="1:3" ht="15.5" x14ac:dyDescent="0.35">
      <c r="A2564" s="2"/>
      <c r="B2564" s="156"/>
      <c r="C2564" s="32"/>
    </row>
    <row r="2565" spans="1:3" ht="15.5" x14ac:dyDescent="0.35">
      <c r="A2565" s="2"/>
      <c r="B2565" s="156"/>
      <c r="C2565" s="32"/>
    </row>
    <row r="2566" spans="1:3" ht="15.5" x14ac:dyDescent="0.35">
      <c r="A2566" s="2"/>
      <c r="B2566" s="156"/>
      <c r="C2566" s="32"/>
    </row>
    <row r="2567" spans="1:3" ht="15.5" x14ac:dyDescent="0.35">
      <c r="A2567" s="2"/>
      <c r="B2567" s="156"/>
      <c r="C2567" s="32"/>
    </row>
    <row r="2568" spans="1:3" ht="15.5" x14ac:dyDescent="0.35">
      <c r="A2568" s="2"/>
      <c r="B2568" s="156"/>
      <c r="C2568" s="32"/>
    </row>
    <row r="2569" spans="1:3" ht="15.5" x14ac:dyDescent="0.35">
      <c r="A2569" s="2"/>
      <c r="B2569" s="156"/>
      <c r="C2569" s="32"/>
    </row>
    <row r="2570" spans="1:3" ht="15.5" x14ac:dyDescent="0.35">
      <c r="A2570" s="2"/>
      <c r="B2570" s="156"/>
      <c r="C2570" s="32"/>
    </row>
    <row r="2571" spans="1:3" ht="15.5" x14ac:dyDescent="0.35">
      <c r="A2571" s="2"/>
      <c r="B2571" s="156"/>
      <c r="C2571" s="32"/>
    </row>
    <row r="2572" spans="1:3" ht="15.5" x14ac:dyDescent="0.35">
      <c r="A2572" s="2"/>
      <c r="B2572" s="156"/>
      <c r="C2572" s="32"/>
    </row>
    <row r="2573" spans="1:3" ht="15.5" x14ac:dyDescent="0.35">
      <c r="A2573" s="2"/>
      <c r="B2573" s="156"/>
      <c r="C2573" s="32"/>
    </row>
    <row r="2574" spans="1:3" ht="15.5" x14ac:dyDescent="0.35">
      <c r="A2574" s="2"/>
      <c r="B2574" s="156"/>
      <c r="C2574" s="32"/>
    </row>
    <row r="2575" spans="1:3" ht="15.5" x14ac:dyDescent="0.35">
      <c r="A2575" s="2"/>
      <c r="B2575" s="156"/>
      <c r="C2575" s="32"/>
    </row>
    <row r="2576" spans="1:3" ht="15.5" x14ac:dyDescent="0.35">
      <c r="A2576" s="2"/>
      <c r="B2576" s="156"/>
      <c r="C2576" s="32"/>
    </row>
    <row r="2577" spans="1:3" ht="15.5" x14ac:dyDescent="0.35">
      <c r="A2577" s="2"/>
      <c r="B2577" s="156"/>
      <c r="C2577" s="32"/>
    </row>
    <row r="2578" spans="1:3" ht="15.5" x14ac:dyDescent="0.35">
      <c r="A2578" s="2"/>
      <c r="B2578" s="156"/>
      <c r="C2578" s="32"/>
    </row>
    <row r="2579" spans="1:3" ht="15.5" x14ac:dyDescent="0.35">
      <c r="A2579" s="2"/>
      <c r="B2579" s="156"/>
      <c r="C2579" s="32"/>
    </row>
    <row r="2580" spans="1:3" ht="15.5" x14ac:dyDescent="0.35">
      <c r="A2580" s="2"/>
      <c r="B2580" s="156"/>
      <c r="C2580" s="32"/>
    </row>
    <row r="2581" spans="1:3" ht="15.5" x14ac:dyDescent="0.35">
      <c r="A2581" s="2"/>
      <c r="B2581" s="156"/>
      <c r="C2581" s="32"/>
    </row>
    <row r="2582" spans="1:3" ht="15.5" x14ac:dyDescent="0.35">
      <c r="A2582" s="2"/>
      <c r="B2582" s="156"/>
      <c r="C2582" s="32"/>
    </row>
    <row r="2583" spans="1:3" ht="15.5" x14ac:dyDescent="0.35">
      <c r="A2583" s="2"/>
      <c r="B2583" s="156"/>
      <c r="C2583" s="32"/>
    </row>
    <row r="2584" spans="1:3" ht="15.5" x14ac:dyDescent="0.35">
      <c r="A2584" s="2"/>
      <c r="B2584" s="156"/>
      <c r="C2584" s="32"/>
    </row>
    <row r="2585" spans="1:3" ht="15.5" x14ac:dyDescent="0.35">
      <c r="A2585" s="2"/>
      <c r="B2585" s="156"/>
      <c r="C2585" s="32"/>
    </row>
    <row r="2586" spans="1:3" ht="15.5" x14ac:dyDescent="0.35">
      <c r="A2586" s="2"/>
      <c r="B2586" s="156"/>
      <c r="C2586" s="32"/>
    </row>
    <row r="2587" spans="1:3" ht="15.5" x14ac:dyDescent="0.35">
      <c r="A2587" s="2"/>
      <c r="B2587" s="156"/>
      <c r="C2587" s="32"/>
    </row>
    <row r="2588" spans="1:3" ht="15.5" x14ac:dyDescent="0.35">
      <c r="A2588" s="2"/>
      <c r="B2588" s="156"/>
      <c r="C2588" s="32"/>
    </row>
    <row r="2589" spans="1:3" ht="15.5" x14ac:dyDescent="0.35">
      <c r="A2589" s="2"/>
      <c r="B2589" s="156"/>
      <c r="C2589" s="32"/>
    </row>
    <row r="2590" spans="1:3" ht="15.5" x14ac:dyDescent="0.35">
      <c r="A2590" s="2"/>
      <c r="B2590" s="156"/>
      <c r="C2590" s="32"/>
    </row>
    <row r="2591" spans="1:3" ht="15.5" x14ac:dyDescent="0.35">
      <c r="A2591" s="2"/>
      <c r="B2591" s="156"/>
      <c r="C2591" s="32"/>
    </row>
    <row r="2592" spans="1:3" ht="15.5" x14ac:dyDescent="0.35">
      <c r="A2592" s="2"/>
      <c r="B2592" s="156"/>
      <c r="C2592" s="32"/>
    </row>
    <row r="2593" spans="1:3" ht="15.5" x14ac:dyDescent="0.35">
      <c r="A2593" s="2"/>
      <c r="B2593" s="156"/>
      <c r="C2593" s="32"/>
    </row>
    <row r="2594" spans="1:3" ht="15.5" x14ac:dyDescent="0.35">
      <c r="A2594" s="2"/>
      <c r="B2594" s="156"/>
      <c r="C2594" s="32"/>
    </row>
    <row r="2595" spans="1:3" ht="15.5" x14ac:dyDescent="0.35">
      <c r="A2595" s="2"/>
      <c r="B2595" s="156"/>
      <c r="C2595" s="32"/>
    </row>
    <row r="2596" spans="1:3" ht="15.5" x14ac:dyDescent="0.35">
      <c r="A2596" s="2"/>
      <c r="B2596" s="156"/>
      <c r="C2596" s="32"/>
    </row>
    <row r="2597" spans="1:3" ht="15.5" x14ac:dyDescent="0.35">
      <c r="A2597" s="2"/>
      <c r="B2597" s="156"/>
      <c r="C2597" s="32"/>
    </row>
    <row r="2598" spans="1:3" ht="15.5" x14ac:dyDescent="0.35">
      <c r="A2598" s="2"/>
      <c r="B2598" s="156"/>
      <c r="C2598" s="32"/>
    </row>
    <row r="2599" spans="1:3" ht="15.5" x14ac:dyDescent="0.35">
      <c r="A2599" s="2"/>
      <c r="B2599" s="156"/>
      <c r="C2599" s="32"/>
    </row>
    <row r="2600" spans="1:3" ht="15.5" x14ac:dyDescent="0.35">
      <c r="A2600" s="2"/>
      <c r="B2600" s="156"/>
      <c r="C2600" s="32"/>
    </row>
    <row r="2601" spans="1:3" ht="15.5" x14ac:dyDescent="0.35">
      <c r="A2601" s="2"/>
      <c r="B2601" s="156"/>
      <c r="C2601" s="32"/>
    </row>
    <row r="2602" spans="1:3" ht="15.5" x14ac:dyDescent="0.35">
      <c r="A2602" s="2"/>
      <c r="B2602" s="156"/>
      <c r="C2602" s="32"/>
    </row>
    <row r="2603" spans="1:3" ht="15.5" x14ac:dyDescent="0.35">
      <c r="A2603" s="2"/>
      <c r="B2603" s="156"/>
      <c r="C2603" s="32"/>
    </row>
    <row r="2604" spans="1:3" ht="15.5" x14ac:dyDescent="0.35">
      <c r="A2604" s="2"/>
      <c r="B2604" s="156"/>
      <c r="C2604" s="32"/>
    </row>
    <row r="2605" spans="1:3" ht="15.5" x14ac:dyDescent="0.35">
      <c r="A2605" s="2"/>
      <c r="B2605" s="156"/>
      <c r="C2605" s="32"/>
    </row>
    <row r="2606" spans="1:3" ht="15.5" x14ac:dyDescent="0.35">
      <c r="A2606" s="2"/>
      <c r="B2606" s="156"/>
      <c r="C2606" s="32"/>
    </row>
    <row r="2607" spans="1:3" ht="15.5" x14ac:dyDescent="0.35">
      <c r="A2607" s="2"/>
      <c r="B2607" s="156"/>
      <c r="C2607" s="32"/>
    </row>
    <row r="2608" spans="1:3" ht="15.5" x14ac:dyDescent="0.35">
      <c r="A2608" s="2"/>
      <c r="B2608" s="156"/>
      <c r="C2608" s="32"/>
    </row>
    <row r="2609" spans="1:3" ht="15.5" x14ac:dyDescent="0.35">
      <c r="A2609" s="2"/>
      <c r="B2609" s="156"/>
      <c r="C2609" s="32"/>
    </row>
    <row r="2610" spans="1:3" ht="15.5" x14ac:dyDescent="0.35">
      <c r="A2610" s="2"/>
      <c r="B2610" s="156"/>
      <c r="C2610" s="32"/>
    </row>
    <row r="2611" spans="1:3" ht="15.5" x14ac:dyDescent="0.35">
      <c r="A2611" s="2"/>
      <c r="B2611" s="156"/>
      <c r="C2611" s="32"/>
    </row>
    <row r="2612" spans="1:3" ht="15.5" x14ac:dyDescent="0.35">
      <c r="A2612" s="2"/>
      <c r="B2612" s="156"/>
      <c r="C2612" s="32"/>
    </row>
    <row r="2613" spans="1:3" ht="15.5" x14ac:dyDescent="0.35">
      <c r="A2613" s="2"/>
      <c r="B2613" s="156"/>
      <c r="C2613" s="32"/>
    </row>
    <row r="2614" spans="1:3" ht="15.5" x14ac:dyDescent="0.35">
      <c r="A2614" s="2"/>
      <c r="B2614" s="156"/>
      <c r="C2614" s="32"/>
    </row>
    <row r="2615" spans="1:3" ht="15.5" x14ac:dyDescent="0.35">
      <c r="A2615" s="2"/>
      <c r="B2615" s="156"/>
      <c r="C2615" s="32"/>
    </row>
    <row r="2616" spans="1:3" ht="15.5" x14ac:dyDescent="0.35">
      <c r="A2616" s="2"/>
      <c r="B2616" s="156"/>
      <c r="C2616" s="32"/>
    </row>
    <row r="2617" spans="1:3" ht="15.5" x14ac:dyDescent="0.35">
      <c r="A2617" s="2"/>
      <c r="B2617" s="156"/>
      <c r="C2617" s="32"/>
    </row>
    <row r="2618" spans="1:3" ht="15.5" x14ac:dyDescent="0.35">
      <c r="A2618" s="2"/>
      <c r="B2618" s="156"/>
      <c r="C2618" s="32"/>
    </row>
    <row r="2619" spans="1:3" ht="15.5" x14ac:dyDescent="0.35">
      <c r="A2619" s="2"/>
      <c r="B2619" s="156"/>
      <c r="C2619" s="32"/>
    </row>
    <row r="2620" spans="1:3" ht="15.5" x14ac:dyDescent="0.35">
      <c r="A2620" s="2"/>
      <c r="B2620" s="156"/>
      <c r="C2620" s="32"/>
    </row>
    <row r="2621" spans="1:3" ht="15.5" x14ac:dyDescent="0.35">
      <c r="A2621" s="2"/>
      <c r="B2621" s="156"/>
      <c r="C2621" s="32"/>
    </row>
    <row r="2622" spans="1:3" ht="15.5" x14ac:dyDescent="0.35">
      <c r="A2622" s="2"/>
      <c r="B2622" s="156"/>
      <c r="C2622" s="32"/>
    </row>
    <row r="2623" spans="1:3" ht="15.5" x14ac:dyDescent="0.35">
      <c r="A2623" s="2"/>
      <c r="B2623" s="156"/>
      <c r="C2623" s="32"/>
    </row>
    <row r="2624" spans="1:3" ht="15.5" x14ac:dyDescent="0.35">
      <c r="A2624" s="2"/>
      <c r="B2624" s="156"/>
      <c r="C2624" s="32"/>
    </row>
    <row r="2625" spans="1:3" ht="15.5" x14ac:dyDescent="0.35">
      <c r="A2625" s="2"/>
      <c r="B2625" s="156"/>
      <c r="C2625" s="32"/>
    </row>
    <row r="2626" spans="1:3" ht="15.5" x14ac:dyDescent="0.35">
      <c r="A2626" s="2"/>
      <c r="B2626" s="156"/>
      <c r="C2626" s="32"/>
    </row>
    <row r="2627" spans="1:3" ht="15.5" x14ac:dyDescent="0.35">
      <c r="A2627" s="2"/>
      <c r="B2627" s="156"/>
      <c r="C2627" s="32"/>
    </row>
    <row r="2628" spans="1:3" ht="15.5" x14ac:dyDescent="0.35">
      <c r="A2628" s="2"/>
      <c r="B2628" s="156"/>
      <c r="C2628" s="32"/>
    </row>
    <row r="2629" spans="1:3" ht="15.5" x14ac:dyDescent="0.35">
      <c r="A2629" s="2"/>
      <c r="B2629" s="156"/>
      <c r="C2629" s="32"/>
    </row>
    <row r="2630" spans="1:3" ht="15.5" x14ac:dyDescent="0.35">
      <c r="A2630" s="2"/>
      <c r="B2630" s="156"/>
      <c r="C2630" s="32"/>
    </row>
    <row r="2631" spans="1:3" ht="15.5" x14ac:dyDescent="0.35">
      <c r="A2631" s="2"/>
      <c r="B2631" s="156"/>
      <c r="C2631" s="32"/>
    </row>
    <row r="2632" spans="1:3" ht="15.5" x14ac:dyDescent="0.35">
      <c r="A2632" s="2"/>
      <c r="B2632" s="156"/>
      <c r="C2632" s="32"/>
    </row>
    <row r="2633" spans="1:3" ht="15.5" x14ac:dyDescent="0.35">
      <c r="A2633" s="2"/>
      <c r="B2633" s="156"/>
      <c r="C2633" s="32"/>
    </row>
    <row r="2634" spans="1:3" ht="15.5" x14ac:dyDescent="0.35">
      <c r="A2634" s="2"/>
      <c r="B2634" s="156"/>
      <c r="C2634" s="32"/>
    </row>
    <row r="2635" spans="1:3" ht="15.5" x14ac:dyDescent="0.35">
      <c r="A2635" s="2"/>
      <c r="B2635" s="156"/>
      <c r="C2635" s="32"/>
    </row>
    <row r="2636" spans="1:3" ht="15.5" x14ac:dyDescent="0.35">
      <c r="A2636" s="2"/>
      <c r="B2636" s="156"/>
      <c r="C2636" s="32"/>
    </row>
    <row r="2637" spans="1:3" ht="15.5" x14ac:dyDescent="0.35">
      <c r="A2637" s="2"/>
      <c r="B2637" s="156"/>
      <c r="C2637" s="32"/>
    </row>
    <row r="2638" spans="1:3" ht="15.5" x14ac:dyDescent="0.35">
      <c r="A2638" s="2"/>
      <c r="B2638" s="156"/>
      <c r="C2638" s="32"/>
    </row>
    <row r="2639" spans="1:3" ht="15.5" x14ac:dyDescent="0.35">
      <c r="A2639" s="2"/>
      <c r="B2639" s="156"/>
      <c r="C2639" s="32"/>
    </row>
    <row r="2640" spans="1:3" ht="15.5" x14ac:dyDescent="0.35">
      <c r="A2640" s="2"/>
      <c r="B2640" s="156"/>
      <c r="C2640" s="32"/>
    </row>
    <row r="2641" spans="1:3" ht="15.5" x14ac:dyDescent="0.35">
      <c r="A2641" s="2"/>
      <c r="B2641" s="156"/>
      <c r="C2641" s="32"/>
    </row>
    <row r="2642" spans="1:3" ht="15.5" x14ac:dyDescent="0.35">
      <c r="A2642" s="2"/>
      <c r="B2642" s="156"/>
      <c r="C2642" s="32"/>
    </row>
    <row r="2643" spans="1:3" ht="15.5" x14ac:dyDescent="0.35">
      <c r="A2643" s="2"/>
      <c r="B2643" s="156"/>
      <c r="C2643" s="32"/>
    </row>
    <row r="2644" spans="1:3" ht="15.5" x14ac:dyDescent="0.35">
      <c r="A2644" s="2"/>
      <c r="B2644" s="156"/>
      <c r="C2644" s="32"/>
    </row>
    <row r="2645" spans="1:3" ht="15.5" x14ac:dyDescent="0.35">
      <c r="A2645" s="2"/>
      <c r="B2645" s="156"/>
      <c r="C2645" s="32"/>
    </row>
    <row r="2646" spans="1:3" ht="15.5" x14ac:dyDescent="0.35">
      <c r="A2646" s="2"/>
      <c r="B2646" s="156"/>
      <c r="C2646" s="32"/>
    </row>
    <row r="2647" spans="1:3" ht="15.5" x14ac:dyDescent="0.35">
      <c r="A2647" s="2"/>
      <c r="B2647" s="156"/>
      <c r="C2647" s="32"/>
    </row>
    <row r="2648" spans="1:3" ht="15.5" x14ac:dyDescent="0.35">
      <c r="A2648" s="2"/>
      <c r="B2648" s="156"/>
      <c r="C2648" s="32"/>
    </row>
    <row r="2649" spans="1:3" ht="15.5" x14ac:dyDescent="0.35">
      <c r="A2649" s="2"/>
      <c r="B2649" s="156"/>
      <c r="C2649" s="32"/>
    </row>
    <row r="2650" spans="1:3" ht="15.5" x14ac:dyDescent="0.35">
      <c r="A2650" s="2"/>
      <c r="B2650" s="156"/>
      <c r="C2650" s="32"/>
    </row>
    <row r="2651" spans="1:3" ht="15.5" x14ac:dyDescent="0.35">
      <c r="A2651" s="2"/>
      <c r="B2651" s="156"/>
      <c r="C2651" s="32"/>
    </row>
    <row r="2652" spans="1:3" ht="15.5" x14ac:dyDescent="0.35">
      <c r="A2652" s="2"/>
      <c r="B2652" s="156"/>
      <c r="C2652" s="32"/>
    </row>
    <row r="2653" spans="1:3" ht="15.5" x14ac:dyDescent="0.35">
      <c r="A2653" s="2"/>
      <c r="B2653" s="156"/>
      <c r="C2653" s="32"/>
    </row>
    <row r="2654" spans="1:3" ht="15.5" x14ac:dyDescent="0.35">
      <c r="A2654" s="2"/>
      <c r="B2654" s="156"/>
      <c r="C2654" s="32"/>
    </row>
    <row r="2655" spans="1:3" ht="15.5" x14ac:dyDescent="0.35">
      <c r="A2655" s="2"/>
      <c r="B2655" s="156"/>
      <c r="C2655" s="32"/>
    </row>
    <row r="2656" spans="1:3" ht="15.5" x14ac:dyDescent="0.35">
      <c r="A2656" s="2"/>
      <c r="B2656" s="156"/>
      <c r="C2656" s="32"/>
    </row>
    <row r="2657" spans="1:3" ht="15.5" x14ac:dyDescent="0.35">
      <c r="A2657" s="2"/>
      <c r="B2657" s="156"/>
      <c r="C2657" s="32"/>
    </row>
    <row r="2658" spans="1:3" ht="15.5" x14ac:dyDescent="0.35">
      <c r="A2658" s="2"/>
      <c r="B2658" s="156"/>
      <c r="C2658" s="32"/>
    </row>
    <row r="2659" spans="1:3" ht="15.5" x14ac:dyDescent="0.35">
      <c r="A2659" s="2"/>
      <c r="C2659" s="32"/>
    </row>
    <row r="2660" spans="1:3" ht="15.5" x14ac:dyDescent="0.35">
      <c r="A2660" s="2"/>
      <c r="C2660" s="32"/>
    </row>
    <row r="2661" spans="1:3" ht="15.5" x14ac:dyDescent="0.35">
      <c r="A2661" s="2"/>
      <c r="C2661" s="32"/>
    </row>
    <row r="2662" spans="1:3" ht="15.5" x14ac:dyDescent="0.35">
      <c r="A2662" s="2"/>
      <c r="C2662" s="32"/>
    </row>
    <row r="2663" spans="1:3" ht="15.5" x14ac:dyDescent="0.35">
      <c r="A2663" s="2"/>
      <c r="C2663" s="32"/>
    </row>
    <row r="2664" spans="1:3" ht="15.5" x14ac:dyDescent="0.35">
      <c r="A2664" s="2"/>
      <c r="C2664" s="32"/>
    </row>
    <row r="2665" spans="1:3" ht="15.5" x14ac:dyDescent="0.35">
      <c r="A2665" s="2"/>
      <c r="C2665" s="32"/>
    </row>
    <row r="2666" spans="1:3" ht="15.5" x14ac:dyDescent="0.35">
      <c r="A2666" s="2"/>
      <c r="C2666" s="32"/>
    </row>
    <row r="2667" spans="1:3" ht="15.5" x14ac:dyDescent="0.35">
      <c r="A2667" s="2"/>
      <c r="C2667" s="32"/>
    </row>
    <row r="2668" spans="1:3" ht="15.5" x14ac:dyDescent="0.35">
      <c r="A2668" s="2"/>
      <c r="B2668" s="2"/>
      <c r="C2668" s="32"/>
    </row>
    <row r="2669" spans="1:3" ht="15.5" x14ac:dyDescent="0.35">
      <c r="A2669" s="2"/>
      <c r="B2669" s="2"/>
      <c r="C2669" s="32"/>
    </row>
    <row r="2670" spans="1:3" ht="15.5" x14ac:dyDescent="0.35">
      <c r="A2670" s="2"/>
      <c r="B2670" s="2"/>
      <c r="C2670" s="32"/>
    </row>
    <row r="2671" spans="1:3" ht="15.5" x14ac:dyDescent="0.35">
      <c r="A2671" s="2"/>
      <c r="B2671" s="2"/>
      <c r="C2671" s="32"/>
    </row>
    <row r="2672" spans="1:3" ht="15.5" x14ac:dyDescent="0.35">
      <c r="A2672" s="2"/>
      <c r="B2672" s="2"/>
      <c r="C2672" s="32"/>
    </row>
    <row r="2673" spans="1:3" ht="15.5" x14ac:dyDescent="0.35">
      <c r="A2673" s="2"/>
      <c r="B2673" s="2"/>
      <c r="C2673" s="32"/>
    </row>
    <row r="2674" spans="1:3" ht="15.5" x14ac:dyDescent="0.35">
      <c r="A2674" s="2"/>
      <c r="B2674" s="2"/>
      <c r="C2674" s="32"/>
    </row>
    <row r="2675" spans="1:3" ht="15.5" x14ac:dyDescent="0.35">
      <c r="A2675" s="2"/>
      <c r="B2675" s="2"/>
      <c r="C2675" s="32"/>
    </row>
    <row r="2676" spans="1:3" ht="15.5" x14ac:dyDescent="0.35">
      <c r="A2676" s="2"/>
      <c r="B2676" s="2"/>
      <c r="C2676" s="32"/>
    </row>
    <row r="2677" spans="1:3" ht="15.5" x14ac:dyDescent="0.35">
      <c r="A2677" s="2"/>
      <c r="B2677" s="2"/>
      <c r="C2677" s="32"/>
    </row>
    <row r="2678" spans="1:3" ht="15.5" x14ac:dyDescent="0.35">
      <c r="A2678" s="2"/>
      <c r="B2678" s="2"/>
      <c r="C2678" s="32"/>
    </row>
    <row r="2679" spans="1:3" ht="15.5" x14ac:dyDescent="0.35">
      <c r="A2679" s="2"/>
      <c r="B2679" s="2"/>
      <c r="C2679" s="32"/>
    </row>
    <row r="2680" spans="1:3" ht="15.5" x14ac:dyDescent="0.35">
      <c r="A2680" s="2"/>
      <c r="B2680" s="2"/>
      <c r="C2680" s="32"/>
    </row>
    <row r="2681" spans="1:3" ht="15.5" x14ac:dyDescent="0.35">
      <c r="A2681" s="2"/>
      <c r="B2681" s="2"/>
      <c r="C2681" s="32"/>
    </row>
    <row r="2682" spans="1:3" ht="15.5" x14ac:dyDescent="0.35">
      <c r="A2682" s="2"/>
      <c r="B2682" s="2"/>
      <c r="C2682" s="32"/>
    </row>
    <row r="2683" spans="1:3" ht="15.5" x14ac:dyDescent="0.35">
      <c r="A2683" s="2"/>
      <c r="B2683" s="2"/>
      <c r="C2683" s="32"/>
    </row>
    <row r="2684" spans="1:3" ht="15.5" x14ac:dyDescent="0.35">
      <c r="A2684" s="2"/>
      <c r="B2684" s="2"/>
      <c r="C2684" s="32"/>
    </row>
    <row r="2685" spans="1:3" ht="15.5" x14ac:dyDescent="0.35">
      <c r="A2685" s="2"/>
      <c r="B2685" s="2"/>
      <c r="C2685" s="32"/>
    </row>
    <row r="2686" spans="1:3" ht="15.5" x14ac:dyDescent="0.35">
      <c r="A2686" s="2"/>
      <c r="B2686" s="2"/>
      <c r="C2686" s="32"/>
    </row>
    <row r="2687" spans="1:3" ht="15.5" x14ac:dyDescent="0.35">
      <c r="A2687" s="2"/>
      <c r="B2687" s="2"/>
      <c r="C2687" s="32"/>
    </row>
    <row r="2688" spans="1:3" ht="15.5" x14ac:dyDescent="0.35">
      <c r="A2688" s="2"/>
      <c r="B2688" s="2"/>
      <c r="C2688" s="32"/>
    </row>
    <row r="2689" spans="1:3" ht="15.5" x14ac:dyDescent="0.35">
      <c r="A2689" s="2"/>
      <c r="B2689" s="2"/>
      <c r="C2689" s="32"/>
    </row>
    <row r="2690" spans="1:3" ht="15.5" x14ac:dyDescent="0.35">
      <c r="A2690" s="2"/>
      <c r="B2690" s="2"/>
      <c r="C2690" s="32"/>
    </row>
    <row r="2691" spans="1:3" ht="15.5" x14ac:dyDescent="0.35">
      <c r="A2691" s="2"/>
      <c r="B2691" s="2"/>
      <c r="C2691" s="32"/>
    </row>
    <row r="2692" spans="1:3" ht="15.5" x14ac:dyDescent="0.35">
      <c r="A2692" s="2"/>
      <c r="B2692" s="2"/>
      <c r="C2692" s="32"/>
    </row>
    <row r="2693" spans="1:3" ht="15.5" x14ac:dyDescent="0.35">
      <c r="A2693" s="2"/>
      <c r="B2693" s="2"/>
      <c r="C2693" s="32"/>
    </row>
    <row r="2694" spans="1:3" ht="15.5" x14ac:dyDescent="0.35">
      <c r="A2694" s="2"/>
      <c r="B2694" s="2"/>
      <c r="C2694" s="32"/>
    </row>
    <row r="2695" spans="1:3" ht="15.5" x14ac:dyDescent="0.35">
      <c r="A2695" s="2"/>
      <c r="B2695" s="2"/>
      <c r="C2695" s="32"/>
    </row>
    <row r="2696" spans="1:3" ht="15.5" x14ac:dyDescent="0.35">
      <c r="A2696" s="2"/>
      <c r="B2696" s="2"/>
      <c r="C2696" s="32"/>
    </row>
    <row r="2697" spans="1:3" ht="15.5" x14ac:dyDescent="0.35">
      <c r="A2697" s="2"/>
      <c r="B2697" s="2"/>
      <c r="C2697" s="32"/>
    </row>
    <row r="2698" spans="1:3" ht="15.5" x14ac:dyDescent="0.35">
      <c r="A2698" s="2"/>
      <c r="B2698" s="2"/>
      <c r="C2698" s="32"/>
    </row>
    <row r="2699" spans="1:3" ht="15.5" x14ac:dyDescent="0.35">
      <c r="A2699" s="2"/>
      <c r="B2699" s="2"/>
      <c r="C2699" s="32"/>
    </row>
    <row r="2700" spans="1:3" ht="15.5" x14ac:dyDescent="0.35">
      <c r="A2700" s="2"/>
      <c r="B2700" s="2"/>
      <c r="C2700" s="32"/>
    </row>
    <row r="2701" spans="1:3" ht="15.5" x14ac:dyDescent="0.35">
      <c r="A2701" s="2"/>
      <c r="B2701" s="2"/>
      <c r="C2701" s="32"/>
    </row>
    <row r="2702" spans="1:3" ht="15.5" x14ac:dyDescent="0.35">
      <c r="A2702" s="2"/>
      <c r="B2702" s="2"/>
      <c r="C2702" s="32"/>
    </row>
    <row r="2703" spans="1:3" ht="15.5" x14ac:dyDescent="0.35">
      <c r="A2703" s="2"/>
      <c r="B2703" s="2"/>
      <c r="C2703" s="32"/>
    </row>
    <row r="2704" spans="1:3" ht="15.5" x14ac:dyDescent="0.35">
      <c r="A2704" s="2"/>
      <c r="B2704" s="2"/>
      <c r="C2704" s="32"/>
    </row>
    <row r="2705" spans="1:3" ht="15.5" x14ac:dyDescent="0.35">
      <c r="A2705" s="2"/>
      <c r="B2705" s="2"/>
      <c r="C2705" s="32"/>
    </row>
    <row r="2706" spans="1:3" ht="15.5" x14ac:dyDescent="0.35">
      <c r="A2706" s="2"/>
      <c r="B2706" s="2"/>
      <c r="C2706" s="32"/>
    </row>
    <row r="2707" spans="1:3" ht="15.5" x14ac:dyDescent="0.35">
      <c r="A2707" s="2"/>
      <c r="B2707" s="2"/>
      <c r="C2707" s="32"/>
    </row>
    <row r="2708" spans="1:3" ht="15.5" x14ac:dyDescent="0.35">
      <c r="A2708" s="2"/>
      <c r="B2708" s="2"/>
      <c r="C2708" s="32"/>
    </row>
    <row r="2709" spans="1:3" ht="15.5" x14ac:dyDescent="0.35">
      <c r="A2709" s="2"/>
      <c r="B2709" s="2"/>
      <c r="C2709" s="32"/>
    </row>
    <row r="2710" spans="1:3" ht="15.5" x14ac:dyDescent="0.35">
      <c r="A2710" s="2"/>
      <c r="B2710" s="2"/>
      <c r="C2710" s="32"/>
    </row>
    <row r="2711" spans="1:3" ht="15.5" x14ac:dyDescent="0.35">
      <c r="A2711" s="2"/>
      <c r="B2711" s="2"/>
      <c r="C2711" s="32"/>
    </row>
    <row r="2712" spans="1:3" ht="15.5" x14ac:dyDescent="0.35">
      <c r="A2712" s="2"/>
      <c r="B2712" s="2"/>
      <c r="C2712" s="32"/>
    </row>
    <row r="2713" spans="1:3" ht="15.5" x14ac:dyDescent="0.35">
      <c r="A2713" s="2"/>
      <c r="B2713" s="2"/>
      <c r="C2713" s="32"/>
    </row>
    <row r="2714" spans="1:3" ht="15.5" x14ac:dyDescent="0.35">
      <c r="A2714" s="2"/>
      <c r="B2714" s="2"/>
      <c r="C2714" s="32"/>
    </row>
    <row r="2715" spans="1:3" ht="15.5" x14ac:dyDescent="0.35">
      <c r="A2715" s="2"/>
      <c r="B2715" s="2"/>
      <c r="C2715" s="32"/>
    </row>
    <row r="2716" spans="1:3" ht="15.5" x14ac:dyDescent="0.35">
      <c r="A2716" s="2"/>
      <c r="B2716" s="2"/>
      <c r="C2716" s="32"/>
    </row>
    <row r="2717" spans="1:3" ht="15.5" x14ac:dyDescent="0.35">
      <c r="A2717" s="2"/>
      <c r="B2717" s="2"/>
      <c r="C2717" s="32"/>
    </row>
    <row r="2718" spans="1:3" ht="15.5" x14ac:dyDescent="0.35">
      <c r="A2718" s="2"/>
      <c r="B2718" s="2"/>
      <c r="C2718" s="32"/>
    </row>
    <row r="2719" spans="1:3" ht="15.5" x14ac:dyDescent="0.35">
      <c r="A2719" s="2"/>
      <c r="B2719" s="2"/>
      <c r="C2719" s="32"/>
    </row>
    <row r="2720" spans="1:3" ht="15.5" x14ac:dyDescent="0.35">
      <c r="A2720" s="2"/>
      <c r="B2720" s="2"/>
      <c r="C2720" s="32"/>
    </row>
    <row r="2721" spans="1:3" ht="15.5" x14ac:dyDescent="0.35">
      <c r="A2721" s="2"/>
      <c r="B2721" s="2"/>
      <c r="C2721" s="32"/>
    </row>
    <row r="2722" spans="1:3" ht="15.5" x14ac:dyDescent="0.35">
      <c r="A2722" s="2"/>
      <c r="B2722" s="2"/>
      <c r="C2722" s="32"/>
    </row>
    <row r="2723" spans="1:3" ht="15.5" x14ac:dyDescent="0.35">
      <c r="A2723" s="2"/>
      <c r="B2723" s="2"/>
      <c r="C2723" s="32"/>
    </row>
    <row r="2724" spans="1:3" ht="15.5" x14ac:dyDescent="0.35">
      <c r="A2724" s="2"/>
      <c r="B2724" s="2"/>
      <c r="C2724" s="32"/>
    </row>
    <row r="2725" spans="1:3" ht="15.5" x14ac:dyDescent="0.35">
      <c r="A2725" s="2"/>
      <c r="B2725" s="2"/>
      <c r="C2725" s="32"/>
    </row>
    <row r="2726" spans="1:3" ht="15.5" x14ac:dyDescent="0.35">
      <c r="A2726" s="2"/>
      <c r="B2726" s="2"/>
      <c r="C2726" s="32"/>
    </row>
    <row r="2727" spans="1:3" ht="15.5" x14ac:dyDescent="0.35">
      <c r="A2727" s="2"/>
      <c r="B2727" s="2"/>
      <c r="C2727" s="32"/>
    </row>
    <row r="2728" spans="1:3" ht="15.5" x14ac:dyDescent="0.35">
      <c r="A2728" s="2"/>
      <c r="B2728" s="2"/>
      <c r="C2728" s="32"/>
    </row>
    <row r="2729" spans="1:3" ht="15.5" x14ac:dyDescent="0.35">
      <c r="A2729" s="2"/>
      <c r="B2729" s="2"/>
      <c r="C2729" s="32"/>
    </row>
    <row r="2730" spans="1:3" ht="15.5" x14ac:dyDescent="0.35">
      <c r="A2730" s="2"/>
      <c r="B2730" s="2"/>
      <c r="C2730" s="32"/>
    </row>
    <row r="2731" spans="1:3" ht="15.5" x14ac:dyDescent="0.35">
      <c r="A2731" s="2"/>
      <c r="B2731" s="2"/>
      <c r="C2731" s="32"/>
    </row>
    <row r="2732" spans="1:3" ht="15.5" x14ac:dyDescent="0.35">
      <c r="A2732" s="2"/>
      <c r="B2732" s="2"/>
      <c r="C2732" s="32"/>
    </row>
    <row r="2733" spans="1:3" ht="15.5" x14ac:dyDescent="0.35">
      <c r="A2733" s="2"/>
      <c r="B2733" s="2"/>
      <c r="C2733" s="32"/>
    </row>
    <row r="2734" spans="1:3" ht="15.5" x14ac:dyDescent="0.35">
      <c r="A2734" s="2"/>
      <c r="B2734" s="2"/>
      <c r="C2734" s="32"/>
    </row>
    <row r="2735" spans="1:3" ht="15.5" x14ac:dyDescent="0.35">
      <c r="A2735" s="2"/>
      <c r="B2735" s="2"/>
      <c r="C2735" s="32"/>
    </row>
    <row r="2736" spans="1:3" ht="15.5" x14ac:dyDescent="0.35">
      <c r="A2736" s="2"/>
      <c r="B2736" s="2"/>
      <c r="C2736" s="32"/>
    </row>
    <row r="2737" spans="1:3" ht="15.5" x14ac:dyDescent="0.35">
      <c r="A2737" s="2"/>
      <c r="B2737" s="2"/>
      <c r="C2737" s="32"/>
    </row>
    <row r="2738" spans="1:3" ht="15.5" x14ac:dyDescent="0.35">
      <c r="A2738" s="2"/>
      <c r="B2738" s="2"/>
      <c r="C2738" s="32"/>
    </row>
    <row r="2739" spans="1:3" ht="15.5" x14ac:dyDescent="0.35">
      <c r="A2739" s="2"/>
      <c r="B2739" s="2"/>
      <c r="C2739" s="32"/>
    </row>
    <row r="2740" spans="1:3" ht="15.5" x14ac:dyDescent="0.35">
      <c r="A2740" s="2"/>
      <c r="B2740" s="2"/>
      <c r="C2740" s="32"/>
    </row>
    <row r="2741" spans="1:3" ht="15.5" x14ac:dyDescent="0.35">
      <c r="A2741" s="2"/>
      <c r="B2741" s="2"/>
      <c r="C2741" s="32"/>
    </row>
    <row r="2742" spans="1:3" ht="15.5" x14ac:dyDescent="0.35">
      <c r="A2742" s="2"/>
      <c r="B2742" s="2"/>
      <c r="C2742" s="32"/>
    </row>
    <row r="2743" spans="1:3" ht="15.5" x14ac:dyDescent="0.35">
      <c r="A2743" s="2"/>
      <c r="B2743" s="2"/>
      <c r="C2743" s="32"/>
    </row>
    <row r="2744" spans="1:3" ht="15.5" x14ac:dyDescent="0.35">
      <c r="A2744" s="2"/>
      <c r="B2744" s="2"/>
      <c r="C2744" s="32"/>
    </row>
    <row r="2745" spans="1:3" ht="15.5" x14ac:dyDescent="0.35">
      <c r="A2745" s="2"/>
      <c r="B2745" s="2"/>
      <c r="C2745" s="32"/>
    </row>
    <row r="2746" spans="1:3" ht="15.5" x14ac:dyDescent="0.35">
      <c r="A2746" s="2"/>
      <c r="B2746" s="2"/>
      <c r="C2746" s="32"/>
    </row>
    <row r="2747" spans="1:3" ht="15.5" x14ac:dyDescent="0.35">
      <c r="A2747" s="2"/>
      <c r="B2747" s="2"/>
      <c r="C2747" s="32"/>
    </row>
    <row r="2748" spans="1:3" ht="15.5" x14ac:dyDescent="0.35">
      <c r="A2748" s="2"/>
      <c r="B2748" s="2"/>
      <c r="C2748" s="32"/>
    </row>
    <row r="2749" spans="1:3" ht="15.5" x14ac:dyDescent="0.35">
      <c r="A2749" s="2"/>
      <c r="B2749" s="2"/>
      <c r="C2749" s="32"/>
    </row>
    <row r="2750" spans="1:3" ht="15.5" x14ac:dyDescent="0.35">
      <c r="A2750" s="2"/>
      <c r="B2750" s="2"/>
      <c r="C2750" s="32"/>
    </row>
    <row r="2751" spans="1:3" ht="15.5" x14ac:dyDescent="0.35">
      <c r="A2751" s="2"/>
      <c r="B2751" s="2"/>
      <c r="C2751" s="32"/>
    </row>
    <row r="2752" spans="1:3" ht="15.5" x14ac:dyDescent="0.35">
      <c r="A2752" s="2"/>
      <c r="B2752" s="2"/>
      <c r="C2752" s="32"/>
    </row>
    <row r="2753" spans="1:3" ht="15.5" x14ac:dyDescent="0.35">
      <c r="A2753" s="2"/>
      <c r="B2753" s="2"/>
      <c r="C2753" s="32"/>
    </row>
    <row r="2754" spans="1:3" ht="15.5" x14ac:dyDescent="0.35">
      <c r="A2754" s="2"/>
      <c r="B2754" s="2"/>
      <c r="C2754" s="32"/>
    </row>
    <row r="2755" spans="1:3" ht="15.5" x14ac:dyDescent="0.35">
      <c r="A2755" s="2"/>
      <c r="B2755" s="2"/>
      <c r="C2755" s="32"/>
    </row>
    <row r="2756" spans="1:3" ht="15.5" x14ac:dyDescent="0.35">
      <c r="A2756" s="2"/>
      <c r="B2756" s="2"/>
      <c r="C2756" s="32"/>
    </row>
    <row r="2757" spans="1:3" ht="15.5" x14ac:dyDescent="0.35">
      <c r="A2757" s="2"/>
      <c r="B2757" s="2"/>
      <c r="C2757" s="32"/>
    </row>
    <row r="2758" spans="1:3" ht="15.5" x14ac:dyDescent="0.35">
      <c r="A2758" s="2"/>
      <c r="B2758" s="2"/>
      <c r="C2758" s="32"/>
    </row>
    <row r="2759" spans="1:3" ht="15.5" x14ac:dyDescent="0.35">
      <c r="A2759" s="2"/>
      <c r="B2759" s="2"/>
      <c r="C2759" s="32"/>
    </row>
    <row r="2760" spans="1:3" ht="15.5" x14ac:dyDescent="0.35">
      <c r="A2760" s="2"/>
      <c r="B2760" s="2"/>
      <c r="C2760" s="32"/>
    </row>
    <row r="2761" spans="1:3" ht="15.5" x14ac:dyDescent="0.35">
      <c r="A2761" s="2"/>
      <c r="B2761" s="2"/>
      <c r="C2761" s="32"/>
    </row>
    <row r="2762" spans="1:3" ht="15.5" x14ac:dyDescent="0.35">
      <c r="A2762" s="2"/>
      <c r="B2762" s="2"/>
      <c r="C2762" s="32"/>
    </row>
    <row r="2763" spans="1:3" ht="15.5" x14ac:dyDescent="0.35">
      <c r="A2763" s="2"/>
      <c r="B2763" s="2"/>
      <c r="C2763" s="32"/>
    </row>
    <row r="2764" spans="1:3" ht="15.5" x14ac:dyDescent="0.35">
      <c r="A2764" s="2"/>
      <c r="B2764" s="2"/>
      <c r="C2764" s="32"/>
    </row>
    <row r="2765" spans="1:3" ht="15.5" x14ac:dyDescent="0.35">
      <c r="A2765" s="2"/>
      <c r="B2765" s="2"/>
      <c r="C2765" s="32"/>
    </row>
    <row r="2766" spans="1:3" ht="15.5" x14ac:dyDescent="0.35">
      <c r="A2766" s="2"/>
      <c r="B2766" s="2"/>
      <c r="C2766" s="32"/>
    </row>
    <row r="2767" spans="1:3" ht="15.5" x14ac:dyDescent="0.35">
      <c r="A2767" s="2"/>
      <c r="B2767" s="2"/>
      <c r="C2767" s="32"/>
    </row>
    <row r="2768" spans="1:3" ht="15.5" x14ac:dyDescent="0.35">
      <c r="A2768" s="2"/>
      <c r="B2768" s="2"/>
      <c r="C2768" s="32"/>
    </row>
    <row r="2769" spans="1:3" ht="15.5" x14ac:dyDescent="0.35">
      <c r="A2769" s="2"/>
      <c r="B2769" s="2"/>
      <c r="C2769" s="32"/>
    </row>
    <row r="2770" spans="1:3" ht="15.5" x14ac:dyDescent="0.35">
      <c r="A2770" s="2"/>
      <c r="B2770" s="2"/>
      <c r="C2770" s="32"/>
    </row>
    <row r="2771" spans="1:3" ht="15.5" x14ac:dyDescent="0.35">
      <c r="A2771" s="2"/>
      <c r="B2771" s="2"/>
      <c r="C2771" s="32"/>
    </row>
    <row r="2772" spans="1:3" ht="15.5" x14ac:dyDescent="0.35">
      <c r="A2772" s="2"/>
      <c r="B2772" s="2"/>
      <c r="C2772" s="32"/>
    </row>
    <row r="2773" spans="1:3" ht="15.5" x14ac:dyDescent="0.35">
      <c r="A2773" s="2"/>
      <c r="B2773" s="2"/>
      <c r="C2773" s="32"/>
    </row>
    <row r="2774" spans="1:3" ht="15.5" x14ac:dyDescent="0.35">
      <c r="A2774" s="2"/>
      <c r="B2774" s="2"/>
      <c r="C2774" s="32"/>
    </row>
    <row r="2775" spans="1:3" ht="15.5" x14ac:dyDescent="0.35">
      <c r="A2775" s="2"/>
      <c r="B2775" s="2"/>
      <c r="C2775" s="32"/>
    </row>
    <row r="2776" spans="1:3" ht="15.5" x14ac:dyDescent="0.35">
      <c r="A2776" s="2"/>
      <c r="B2776" s="2"/>
      <c r="C2776" s="32"/>
    </row>
    <row r="2777" spans="1:3" ht="15.5" x14ac:dyDescent="0.35">
      <c r="A2777" s="2"/>
      <c r="B2777" s="2"/>
      <c r="C2777" s="32"/>
    </row>
    <row r="2778" spans="1:3" ht="15.5" x14ac:dyDescent="0.35">
      <c r="A2778" s="2"/>
      <c r="B2778" s="2"/>
      <c r="C2778" s="32"/>
    </row>
    <row r="2779" spans="1:3" ht="15.5" x14ac:dyDescent="0.35">
      <c r="A2779" s="2"/>
      <c r="B2779" s="2"/>
      <c r="C2779" s="32"/>
    </row>
    <row r="2780" spans="1:3" ht="15.5" x14ac:dyDescent="0.35">
      <c r="A2780" s="2"/>
      <c r="B2780" s="2"/>
      <c r="C2780" s="32"/>
    </row>
    <row r="2781" spans="1:3" ht="15.5" x14ac:dyDescent="0.35">
      <c r="A2781" s="2"/>
      <c r="B2781" s="2"/>
      <c r="C2781" s="32"/>
    </row>
    <row r="2782" spans="1:3" ht="15.5" x14ac:dyDescent="0.35">
      <c r="A2782" s="2"/>
      <c r="B2782" s="2"/>
      <c r="C2782" s="32"/>
    </row>
    <row r="2783" spans="1:3" ht="15.5" x14ac:dyDescent="0.35">
      <c r="A2783" s="2"/>
      <c r="B2783" s="2"/>
      <c r="C2783" s="32"/>
    </row>
    <row r="2784" spans="1:3" ht="15.5" x14ac:dyDescent="0.35">
      <c r="A2784" s="2"/>
      <c r="B2784" s="2"/>
      <c r="C2784" s="32"/>
    </row>
    <row r="2785" spans="1:3" ht="15.5" x14ac:dyDescent="0.35">
      <c r="A2785" s="2"/>
      <c r="B2785" s="2"/>
      <c r="C2785" s="32"/>
    </row>
    <row r="2786" spans="1:3" ht="15.5" x14ac:dyDescent="0.35">
      <c r="A2786" s="2"/>
      <c r="B2786" s="2"/>
      <c r="C2786" s="32"/>
    </row>
    <row r="2787" spans="1:3" ht="15.5" x14ac:dyDescent="0.35">
      <c r="A2787" s="2"/>
      <c r="B2787" s="2"/>
      <c r="C2787" s="32"/>
    </row>
    <row r="2788" spans="1:3" ht="15.5" x14ac:dyDescent="0.35">
      <c r="A2788" s="2"/>
      <c r="B2788" s="2"/>
      <c r="C2788" s="32"/>
    </row>
    <row r="2789" spans="1:3" ht="15.5" x14ac:dyDescent="0.35">
      <c r="A2789" s="2"/>
      <c r="B2789" s="2"/>
      <c r="C2789" s="32"/>
    </row>
    <row r="2790" spans="1:3" ht="15.5" x14ac:dyDescent="0.35">
      <c r="A2790" s="2"/>
      <c r="B2790" s="2"/>
      <c r="C2790" s="32"/>
    </row>
    <row r="2791" spans="1:3" ht="15.5" x14ac:dyDescent="0.35">
      <c r="A2791" s="2"/>
      <c r="B2791" s="2"/>
      <c r="C2791" s="32"/>
    </row>
    <row r="2792" spans="1:3" ht="15.5" x14ac:dyDescent="0.35">
      <c r="A2792" s="2"/>
      <c r="B2792" s="2"/>
      <c r="C2792" s="32"/>
    </row>
    <row r="2793" spans="1:3" ht="15.5" x14ac:dyDescent="0.35">
      <c r="A2793" s="2"/>
      <c r="B2793" s="2"/>
      <c r="C2793" s="32"/>
    </row>
    <row r="2794" spans="1:3" ht="15.5" x14ac:dyDescent="0.35">
      <c r="A2794" s="2"/>
      <c r="B2794" s="2"/>
      <c r="C2794" s="32"/>
    </row>
    <row r="2795" spans="1:3" ht="15.5" x14ac:dyDescent="0.35">
      <c r="A2795" s="2"/>
      <c r="B2795" s="2"/>
      <c r="C2795" s="32"/>
    </row>
    <row r="2796" spans="1:3" ht="15.5" x14ac:dyDescent="0.35">
      <c r="A2796" s="2"/>
      <c r="B2796" s="2"/>
      <c r="C2796" s="32"/>
    </row>
    <row r="2797" spans="1:3" ht="15.5" x14ac:dyDescent="0.35">
      <c r="A2797" s="2"/>
      <c r="B2797" s="2"/>
      <c r="C2797" s="32"/>
    </row>
    <row r="2798" spans="1:3" ht="15.5" x14ac:dyDescent="0.35">
      <c r="A2798" s="2"/>
      <c r="B2798" s="2"/>
      <c r="C2798" s="32"/>
    </row>
    <row r="2799" spans="1:3" ht="15.5" x14ac:dyDescent="0.35">
      <c r="A2799" s="2"/>
      <c r="B2799" s="2"/>
      <c r="C2799" s="32"/>
    </row>
    <row r="2800" spans="1:3" ht="15.5" x14ac:dyDescent="0.35">
      <c r="A2800" s="2"/>
      <c r="B2800" s="2"/>
      <c r="C2800" s="32"/>
    </row>
    <row r="2801" spans="1:3" ht="15.5" x14ac:dyDescent="0.35">
      <c r="A2801" s="2"/>
      <c r="B2801" s="2"/>
      <c r="C2801" s="32"/>
    </row>
    <row r="2802" spans="1:3" ht="15.5" x14ac:dyDescent="0.35">
      <c r="A2802" s="2"/>
      <c r="B2802" s="2"/>
      <c r="C2802" s="32"/>
    </row>
    <row r="2803" spans="1:3" ht="15.5" x14ac:dyDescent="0.35">
      <c r="A2803" s="2"/>
      <c r="B2803" s="2"/>
      <c r="C2803" s="32"/>
    </row>
    <row r="2804" spans="1:3" ht="15.5" x14ac:dyDescent="0.35">
      <c r="A2804" s="2"/>
      <c r="B2804" s="2"/>
      <c r="C2804" s="32"/>
    </row>
    <row r="2805" spans="1:3" ht="15.5" x14ac:dyDescent="0.35">
      <c r="A2805" s="2"/>
      <c r="B2805" s="2"/>
      <c r="C2805" s="32"/>
    </row>
    <row r="2806" spans="1:3" ht="15.5" x14ac:dyDescent="0.35">
      <c r="A2806" s="2"/>
      <c r="B2806" s="2"/>
      <c r="C2806" s="32"/>
    </row>
    <row r="2807" spans="1:3" ht="15.5" x14ac:dyDescent="0.35">
      <c r="A2807" s="2"/>
      <c r="B2807" s="2"/>
      <c r="C2807" s="32"/>
    </row>
    <row r="2808" spans="1:3" ht="15.5" x14ac:dyDescent="0.35">
      <c r="A2808" s="2"/>
      <c r="B2808" s="2"/>
      <c r="C2808" s="32"/>
    </row>
    <row r="2809" spans="1:3" ht="15.5" x14ac:dyDescent="0.35">
      <c r="A2809" s="2"/>
      <c r="B2809" s="2"/>
      <c r="C2809" s="32"/>
    </row>
    <row r="2810" spans="1:3" ht="15.5" x14ac:dyDescent="0.35">
      <c r="A2810" s="2"/>
      <c r="B2810" s="2"/>
      <c r="C2810" s="32"/>
    </row>
    <row r="2811" spans="1:3" ht="15.5" x14ac:dyDescent="0.35">
      <c r="A2811" s="2"/>
      <c r="B2811" s="2"/>
      <c r="C2811" s="32"/>
    </row>
    <row r="2812" spans="1:3" ht="15.5" x14ac:dyDescent="0.35">
      <c r="A2812" s="2"/>
      <c r="B2812" s="2"/>
      <c r="C2812" s="32"/>
    </row>
    <row r="2813" spans="1:3" ht="15.5" x14ac:dyDescent="0.35">
      <c r="A2813" s="2"/>
      <c r="B2813" s="2"/>
      <c r="C2813" s="32"/>
    </row>
    <row r="2814" spans="1:3" ht="15.5" x14ac:dyDescent="0.35">
      <c r="A2814" s="2"/>
      <c r="B2814" s="2"/>
      <c r="C2814" s="32"/>
    </row>
    <row r="2815" spans="1:3" ht="15.5" x14ac:dyDescent="0.35">
      <c r="A2815" s="2"/>
      <c r="B2815" s="2"/>
      <c r="C2815" s="32"/>
    </row>
    <row r="2816" spans="1:3" ht="15.5" x14ac:dyDescent="0.35">
      <c r="A2816" s="2"/>
      <c r="B2816" s="2"/>
      <c r="C2816" s="32"/>
    </row>
    <row r="2817" spans="1:3" ht="15.5" x14ac:dyDescent="0.35">
      <c r="A2817" s="2"/>
      <c r="B2817" s="2"/>
      <c r="C2817" s="32"/>
    </row>
    <row r="2818" spans="1:3" ht="15.5" x14ac:dyDescent="0.35">
      <c r="A2818" s="2"/>
      <c r="B2818" s="2"/>
      <c r="C2818" s="32"/>
    </row>
    <row r="2819" spans="1:3" ht="15.5" x14ac:dyDescent="0.35">
      <c r="A2819" s="2"/>
      <c r="B2819" s="2"/>
      <c r="C2819" s="32"/>
    </row>
    <row r="2820" spans="1:3" ht="15.5" x14ac:dyDescent="0.35">
      <c r="A2820" s="2"/>
      <c r="B2820" s="2"/>
      <c r="C2820" s="32"/>
    </row>
    <row r="2821" spans="1:3" ht="15.5" x14ac:dyDescent="0.35">
      <c r="A2821" s="2"/>
      <c r="B2821" s="2"/>
      <c r="C2821" s="32"/>
    </row>
    <row r="2822" spans="1:3" ht="15.5" x14ac:dyDescent="0.35">
      <c r="A2822" s="2"/>
      <c r="B2822" s="2"/>
      <c r="C2822" s="32"/>
    </row>
    <row r="2823" spans="1:3" ht="15.5" x14ac:dyDescent="0.35">
      <c r="A2823" s="2"/>
      <c r="B2823" s="2"/>
      <c r="C2823" s="32"/>
    </row>
    <row r="2824" spans="1:3" ht="15.5" x14ac:dyDescent="0.35">
      <c r="A2824" s="2"/>
      <c r="B2824" s="2"/>
      <c r="C2824" s="32"/>
    </row>
    <row r="2825" spans="1:3" ht="15.5" x14ac:dyDescent="0.35">
      <c r="A2825" s="2"/>
      <c r="B2825" s="2"/>
      <c r="C2825" s="32"/>
    </row>
    <row r="2826" spans="1:3" ht="15.5" x14ac:dyDescent="0.35">
      <c r="A2826" s="2"/>
      <c r="B2826" s="2"/>
      <c r="C2826" s="32"/>
    </row>
    <row r="2827" spans="1:3" ht="15.5" x14ac:dyDescent="0.35">
      <c r="A2827" s="2"/>
      <c r="B2827" s="2"/>
      <c r="C2827" s="32"/>
    </row>
    <row r="2828" spans="1:3" ht="15.5" x14ac:dyDescent="0.35">
      <c r="A2828" s="2"/>
      <c r="B2828" s="2"/>
      <c r="C2828" s="32"/>
    </row>
    <row r="2829" spans="1:3" ht="15.5" x14ac:dyDescent="0.35">
      <c r="A2829" s="2"/>
      <c r="B2829" s="2"/>
      <c r="C2829" s="32"/>
    </row>
    <row r="2830" spans="1:3" ht="15.5" x14ac:dyDescent="0.35">
      <c r="A2830" s="2"/>
      <c r="B2830" s="2"/>
      <c r="C2830" s="32"/>
    </row>
    <row r="2831" spans="1:3" ht="15.5" x14ac:dyDescent="0.35">
      <c r="A2831" s="2"/>
      <c r="B2831" s="2"/>
      <c r="C2831" s="32"/>
    </row>
    <row r="2832" spans="1:3" ht="15.5" x14ac:dyDescent="0.35">
      <c r="A2832" s="2"/>
      <c r="B2832" s="2"/>
      <c r="C2832" s="32"/>
    </row>
    <row r="2833" spans="1:3" ht="15.5" x14ac:dyDescent="0.35">
      <c r="A2833" s="2"/>
      <c r="B2833" s="2"/>
      <c r="C2833" s="32"/>
    </row>
    <row r="2834" spans="1:3" ht="15.5" x14ac:dyDescent="0.35">
      <c r="A2834" s="2"/>
      <c r="B2834" s="2"/>
      <c r="C2834" s="32"/>
    </row>
    <row r="2835" spans="1:3" ht="15.5" x14ac:dyDescent="0.35">
      <c r="A2835" s="2"/>
      <c r="B2835" s="2"/>
      <c r="C2835" s="32"/>
    </row>
    <row r="2836" spans="1:3" ht="15.5" x14ac:dyDescent="0.35">
      <c r="A2836" s="2"/>
      <c r="B2836" s="2"/>
      <c r="C2836" s="32"/>
    </row>
    <row r="2837" spans="1:3" ht="15.5" x14ac:dyDescent="0.35">
      <c r="A2837" s="2"/>
      <c r="B2837" s="2"/>
      <c r="C2837" s="32"/>
    </row>
    <row r="2838" spans="1:3" ht="15.5" x14ac:dyDescent="0.35">
      <c r="A2838" s="2"/>
      <c r="B2838" s="2"/>
      <c r="C2838" s="32"/>
    </row>
    <row r="2839" spans="1:3" ht="15.5" x14ac:dyDescent="0.35">
      <c r="A2839" s="2"/>
      <c r="B2839" s="2"/>
      <c r="C2839" s="32"/>
    </row>
    <row r="2840" spans="1:3" ht="15.5" x14ac:dyDescent="0.35">
      <c r="A2840" s="2"/>
      <c r="B2840" s="2"/>
      <c r="C2840" s="32"/>
    </row>
    <row r="2841" spans="1:3" ht="15.5" x14ac:dyDescent="0.35">
      <c r="A2841" s="2"/>
      <c r="B2841" s="2"/>
      <c r="C2841" s="32"/>
    </row>
    <row r="2842" spans="1:3" ht="15.5" x14ac:dyDescent="0.35">
      <c r="A2842" s="2"/>
      <c r="B2842" s="2"/>
      <c r="C2842" s="32"/>
    </row>
    <row r="2843" spans="1:3" ht="15.5" x14ac:dyDescent="0.35">
      <c r="A2843" s="2"/>
      <c r="B2843" s="2"/>
      <c r="C2843" s="32"/>
    </row>
    <row r="2844" spans="1:3" ht="15.5" x14ac:dyDescent="0.35">
      <c r="A2844" s="2"/>
      <c r="B2844" s="2"/>
      <c r="C2844" s="32"/>
    </row>
    <row r="2845" spans="1:3" ht="15.5" x14ac:dyDescent="0.35">
      <c r="A2845" s="2"/>
      <c r="B2845" s="2"/>
      <c r="C2845" s="32"/>
    </row>
    <row r="2846" spans="1:3" ht="15.5" x14ac:dyDescent="0.35">
      <c r="A2846" s="2"/>
      <c r="B2846" s="2"/>
      <c r="C2846" s="32"/>
    </row>
    <row r="2847" spans="1:3" ht="15.5" x14ac:dyDescent="0.35">
      <c r="A2847" s="2"/>
      <c r="B2847" s="2"/>
      <c r="C2847" s="32"/>
    </row>
    <row r="2848" spans="1:3" ht="15.5" x14ac:dyDescent="0.35">
      <c r="A2848" s="2"/>
      <c r="B2848" s="2"/>
      <c r="C2848" s="32"/>
    </row>
    <row r="2849" spans="1:3" ht="15.5" x14ac:dyDescent="0.35">
      <c r="A2849" s="2"/>
      <c r="B2849" s="2"/>
      <c r="C2849" s="32"/>
    </row>
    <row r="2850" spans="1:3" ht="15.5" x14ac:dyDescent="0.35">
      <c r="A2850" s="2"/>
      <c r="B2850" s="2"/>
      <c r="C2850" s="32"/>
    </row>
    <row r="2851" spans="1:3" ht="15.5" x14ac:dyDescent="0.35">
      <c r="A2851" s="2"/>
      <c r="B2851" s="2"/>
      <c r="C2851" s="32"/>
    </row>
    <row r="2852" spans="1:3" ht="15.5" x14ac:dyDescent="0.35">
      <c r="A2852" s="2"/>
      <c r="B2852" s="2"/>
      <c r="C2852" s="32"/>
    </row>
    <row r="2853" spans="1:3" ht="15.5" x14ac:dyDescent="0.35">
      <c r="A2853" s="2"/>
      <c r="B2853" s="2"/>
      <c r="C2853" s="32"/>
    </row>
    <row r="2854" spans="1:3" ht="15.5" x14ac:dyDescent="0.35">
      <c r="A2854" s="2"/>
      <c r="B2854" s="2"/>
      <c r="C2854" s="32"/>
    </row>
    <row r="2855" spans="1:3" ht="15.5" x14ac:dyDescent="0.35">
      <c r="A2855" s="2"/>
      <c r="B2855" s="2"/>
      <c r="C2855" s="32"/>
    </row>
    <row r="2856" spans="1:3" ht="15.5" x14ac:dyDescent="0.35">
      <c r="A2856" s="2"/>
      <c r="B2856" s="2"/>
      <c r="C2856" s="32"/>
    </row>
    <row r="2857" spans="1:3" ht="15.5" x14ac:dyDescent="0.35">
      <c r="A2857" s="2"/>
      <c r="B2857" s="2"/>
      <c r="C2857" s="32"/>
    </row>
    <row r="2858" spans="1:3" ht="15.5" x14ac:dyDescent="0.35">
      <c r="A2858" s="2"/>
      <c r="B2858" s="2"/>
      <c r="C2858" s="32"/>
    </row>
    <row r="2859" spans="1:3" ht="15.5" x14ac:dyDescent="0.35">
      <c r="A2859" s="2"/>
      <c r="B2859" s="2"/>
      <c r="C2859" s="32"/>
    </row>
    <row r="2860" spans="1:3" ht="15.5" x14ac:dyDescent="0.35">
      <c r="A2860" s="2"/>
      <c r="B2860" s="2"/>
      <c r="C2860" s="32"/>
    </row>
    <row r="2861" spans="1:3" ht="15.5" x14ac:dyDescent="0.35">
      <c r="A2861" s="2"/>
      <c r="B2861" s="2"/>
      <c r="C2861" s="32"/>
    </row>
    <row r="2862" spans="1:3" ht="15.5" x14ac:dyDescent="0.35">
      <c r="A2862" s="2"/>
      <c r="B2862" s="2"/>
      <c r="C2862" s="32"/>
    </row>
    <row r="2863" spans="1:3" ht="15.5" x14ac:dyDescent="0.35">
      <c r="A2863" s="2"/>
      <c r="B2863" s="2"/>
      <c r="C2863" s="32"/>
    </row>
    <row r="2864" spans="1:3" ht="15.5" x14ac:dyDescent="0.35">
      <c r="A2864" s="2"/>
      <c r="B2864" s="2"/>
      <c r="C2864" s="32"/>
    </row>
    <row r="2865" spans="1:3" ht="15.5" x14ac:dyDescent="0.35">
      <c r="A2865" s="2"/>
      <c r="B2865" s="2"/>
      <c r="C2865" s="32"/>
    </row>
    <row r="2866" spans="1:3" ht="15.5" x14ac:dyDescent="0.35">
      <c r="A2866" s="2"/>
      <c r="B2866" s="2"/>
      <c r="C2866" s="32"/>
    </row>
    <row r="2867" spans="1:3" ht="15.5" x14ac:dyDescent="0.35">
      <c r="A2867" s="2"/>
      <c r="B2867" s="2"/>
      <c r="C2867" s="32"/>
    </row>
    <row r="2868" spans="1:3" ht="15.5" x14ac:dyDescent="0.35">
      <c r="A2868" s="2"/>
      <c r="B2868" s="2"/>
      <c r="C2868" s="32"/>
    </row>
    <row r="2869" spans="1:3" ht="15.5" x14ac:dyDescent="0.35">
      <c r="A2869" s="2"/>
      <c r="B2869" s="2"/>
      <c r="C2869" s="32"/>
    </row>
    <row r="2870" spans="1:3" ht="15.5" x14ac:dyDescent="0.35">
      <c r="A2870" s="2"/>
      <c r="B2870" s="2"/>
      <c r="C2870" s="32"/>
    </row>
    <row r="2871" spans="1:3" ht="15.5" x14ac:dyDescent="0.35">
      <c r="A2871" s="2"/>
      <c r="B2871" s="2"/>
      <c r="C2871" s="32"/>
    </row>
    <row r="2872" spans="1:3" ht="15.5" x14ac:dyDescent="0.35">
      <c r="A2872" s="2"/>
      <c r="B2872" s="2"/>
      <c r="C2872" s="32"/>
    </row>
    <row r="2873" spans="1:3" ht="15.5" x14ac:dyDescent="0.35">
      <c r="A2873" s="2"/>
      <c r="B2873" s="2"/>
      <c r="C2873" s="32"/>
    </row>
    <row r="2874" spans="1:3" ht="15.5" x14ac:dyDescent="0.35">
      <c r="A2874" s="2"/>
      <c r="B2874" s="2"/>
      <c r="C2874" s="32"/>
    </row>
    <row r="2875" spans="1:3" ht="15.5" x14ac:dyDescent="0.35">
      <c r="A2875" s="2"/>
      <c r="B2875" s="2"/>
      <c r="C2875" s="32"/>
    </row>
    <row r="2876" spans="1:3" ht="15.5" x14ac:dyDescent="0.35">
      <c r="A2876" s="2"/>
      <c r="B2876" s="2"/>
      <c r="C287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ROI JUNE 2026</vt:lpstr>
      <vt:lpstr>QUARTER JUNE 2026</vt:lpstr>
      <vt:lpstr>RFM JUNE 2026</vt:lpstr>
      <vt:lpstr>JUNE 2026 INVESTMENTS</vt:lpstr>
      <vt:lpstr>'QUARTER JUNE 2026'!Print_Area</vt:lpstr>
      <vt:lpstr>'RFM JUNE 2026'!Print_Area</vt:lpstr>
      <vt:lpstr>'ROI JUNE 2026'!Print_Area</vt:lpstr>
    </vt:vector>
  </TitlesOfParts>
  <Company>Regional Transportation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Barlow</dc:creator>
  <cp:lastModifiedBy>Brenden Morgan</cp:lastModifiedBy>
  <cp:lastPrinted>2026-07-23T15:39:24Z</cp:lastPrinted>
  <dcterms:created xsi:type="dcterms:W3CDTF">2026-07-23T15:26:38Z</dcterms:created>
  <dcterms:modified xsi:type="dcterms:W3CDTF">2026-09-28T22:33:15Z</dcterms:modified>
</cp:coreProperties>
</file>